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010" windowWidth="19420" windowHeight="3040" activeTab="0"/>
  </bookViews>
  <sheets>
    <sheet name="SI  PAL  LP" sheetId="1" r:id="rId1"/>
    <sheet name="RELACION Sabados SI vs LP" sheetId="2" r:id="rId2"/>
    <sheet name="Hoja3" sheetId="3" r:id="rId3"/>
  </sheets>
  <definedNames>
    <definedName name="_xlnm.Print_Area" localSheetId="1">'RELACION Sabados SI vs LP'!$A$1:$J$25</definedName>
    <definedName name="_xlnm.Print_Area" localSheetId="0">'SI  PAL  LP'!$A$2:$T$71</definedName>
  </definedNames>
  <calcPr fullCalcOnLoad="1"/>
</workbook>
</file>

<file path=xl/comments1.xml><?xml version="1.0" encoding="utf-8"?>
<comments xmlns="http://schemas.openxmlformats.org/spreadsheetml/2006/main">
  <authors>
    <author>JUANCA</author>
  </authors>
  <commentList>
    <comment ref="AB49" authorId="0">
      <text>
        <r>
          <rPr>
            <b/>
            <sz val="9"/>
            <rFont val="Tahoma"/>
            <family val="2"/>
          </rPr>
          <t>JUANCA: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<sst xmlns="http://schemas.openxmlformats.org/spreadsheetml/2006/main" count="525" uniqueCount="145">
  <si>
    <t>Promedio del dia</t>
  </si>
  <si>
    <t>ENERO</t>
  </si>
  <si>
    <t>10 reuniones</t>
  </si>
  <si>
    <t xml:space="preserve">Promedio $ jugados x carrera  </t>
  </si>
  <si>
    <t xml:space="preserve">carreras x reunion </t>
  </si>
  <si>
    <t>FEBRERO</t>
  </si>
  <si>
    <t>9 reuniones</t>
  </si>
  <si>
    <t>PALERMO</t>
  </si>
  <si>
    <t>LA PLATA</t>
  </si>
  <si>
    <t>Sabados</t>
  </si>
  <si>
    <t>Viernes</t>
  </si>
  <si>
    <t>Lunes-Martes-Miercoles-Jueves</t>
  </si>
  <si>
    <t>Domingo</t>
  </si>
  <si>
    <t>Dif Promedio con Pal</t>
  </si>
  <si>
    <t>Dif Promedio con LP</t>
  </si>
  <si>
    <t>MARZO</t>
  </si>
  <si>
    <t>11 reuniones</t>
  </si>
  <si>
    <t>ABRIL</t>
  </si>
  <si>
    <t>MAYO</t>
  </si>
  <si>
    <t>Latino</t>
  </si>
  <si>
    <t>La Punta</t>
  </si>
  <si>
    <t>Feriado</t>
  </si>
  <si>
    <t>JUNIO</t>
  </si>
  <si>
    <t>DIFERENCIAS  CON  PALERMO  y  LA  PLATA</t>
  </si>
  <si>
    <r>
      <t xml:space="preserve">Diferencia  </t>
    </r>
    <r>
      <rPr>
        <b/>
        <sz val="10"/>
        <color indexed="8"/>
        <rFont val="Arial"/>
        <family val="2"/>
      </rPr>
      <t>$</t>
    </r>
    <r>
      <rPr>
        <sz val="8"/>
        <color indexed="8"/>
        <rFont val="Arial"/>
        <family val="2"/>
      </rPr>
      <t xml:space="preserve">  con Palermo</t>
    </r>
  </si>
  <si>
    <r>
      <t>Diferencia</t>
    </r>
    <r>
      <rPr>
        <b/>
        <sz val="10"/>
        <color indexed="8"/>
        <rFont val="Arial"/>
        <family val="2"/>
      </rPr>
      <t xml:space="preserve"> $</t>
    </r>
    <r>
      <rPr>
        <sz val="8"/>
        <color indexed="8"/>
        <rFont val="Arial"/>
        <family val="2"/>
      </rPr>
      <t xml:space="preserve"> con La Plata</t>
    </r>
  </si>
  <si>
    <t>25 de Mayo</t>
  </si>
  <si>
    <t>Dif.Carreras con PAL</t>
  </si>
  <si>
    <t>Dif.Carreras con LP</t>
  </si>
  <si>
    <t>PARTICIPACION</t>
  </si>
  <si>
    <t xml:space="preserve">RESUMEN   DEL   PRIMER  SEMESTRE </t>
  </si>
  <si>
    <t>Simulcasting</t>
  </si>
  <si>
    <t>JULIO</t>
  </si>
  <si>
    <t xml:space="preserve">RESUMEN   DE  7  (  SIETE  )  MESES </t>
  </si>
  <si>
    <t>AGOSTO</t>
  </si>
  <si>
    <t xml:space="preserve">RESUMEN   DE  8  (  OCHO   )  MESES </t>
  </si>
  <si>
    <t xml:space="preserve">RESUMEN   DE  9  (  NUEVE   )  MESES </t>
  </si>
  <si>
    <t xml:space="preserve">  Total 6 meses</t>
  </si>
  <si>
    <t xml:space="preserve">  Total 7 meses</t>
  </si>
  <si>
    <t xml:space="preserve">  Total 8 meses</t>
  </si>
  <si>
    <t>Pollas</t>
  </si>
  <si>
    <t>Total 9 meses</t>
  </si>
  <si>
    <t>OCTUBRE</t>
  </si>
  <si>
    <t xml:space="preserve">RESUMEN   DE  10  (  DIEZ   )  MESES </t>
  </si>
  <si>
    <t>NOVIEMBRE</t>
  </si>
  <si>
    <t>DICIEMBRE</t>
  </si>
  <si>
    <t>Jockey Club</t>
  </si>
  <si>
    <t>Total 11 meses</t>
  </si>
  <si>
    <t xml:space="preserve">RESUMEN   DE  11  (  ONCE   )  MESES </t>
  </si>
  <si>
    <t>Total 10 meses</t>
  </si>
  <si>
    <t>Selección</t>
  </si>
  <si>
    <t>Copa de Oro</t>
  </si>
  <si>
    <t>RESUMEN   DE  AÑO  2018</t>
  </si>
  <si>
    <r>
      <t xml:space="preserve">RECAUDACIONES  3  HIPODROMOS : SAN ISIDRO - PALERMO - LA PLATA   </t>
    </r>
    <r>
      <rPr>
        <sz val="20"/>
        <color indexed="8"/>
        <rFont val="Arial Black"/>
        <family val="2"/>
      </rPr>
      <t>2018</t>
    </r>
  </si>
  <si>
    <t>PARO de la GREMIAL</t>
  </si>
  <si>
    <t>10 reuniones - 2 = 8</t>
  </si>
  <si>
    <t>entre 10 y 12</t>
  </si>
  <si>
    <t>entre 12 y 15</t>
  </si>
  <si>
    <t>entre 15 y 20</t>
  </si>
  <si>
    <t>mas de 20</t>
  </si>
  <si>
    <t>menos de 7</t>
  </si>
  <si>
    <t>entre 7 y 8</t>
  </si>
  <si>
    <t>Promedio</t>
  </si>
  <si>
    <t>menos de 600</t>
  </si>
  <si>
    <t>entre 600 y 700</t>
  </si>
  <si>
    <t>entre 700 y 800</t>
  </si>
  <si>
    <t>entre 800 y 1M</t>
  </si>
  <si>
    <t>mas de 1M</t>
  </si>
  <si>
    <t>entre 8 y 9</t>
  </si>
  <si>
    <t>entre 9 y 10</t>
  </si>
  <si>
    <t>Recaudacion</t>
  </si>
  <si>
    <t>menos de 500</t>
  </si>
  <si>
    <t xml:space="preserve"> SI-PAL 1 reunion menos</t>
  </si>
  <si>
    <t xml:space="preserve">  SI-PAL 1 reunion menos</t>
  </si>
  <si>
    <t>SI  1  reunion mas  LP  1 reunion menos</t>
  </si>
  <si>
    <t>LP tuvo 11 reuniones</t>
  </si>
  <si>
    <t>10  reuniones</t>
  </si>
  <si>
    <t>SI  2 reuniones menos x Paro Gremial</t>
  </si>
  <si>
    <t>TODO ABRIL , MUY  COMPLICADO POR  LA  INFLUENZA  EQUINA</t>
  </si>
  <si>
    <t>Belmont</t>
  </si>
  <si>
    <t>11  reuniones</t>
  </si>
  <si>
    <t>Paro general</t>
  </si>
  <si>
    <t>Arg-Nigeria</t>
  </si>
  <si>
    <t>ESTRELLASysuspendido</t>
  </si>
  <si>
    <t>mas de 1,5M</t>
  </si>
  <si>
    <t>LaPunta</t>
  </si>
  <si>
    <t>SEPTIEMBRE</t>
  </si>
  <si>
    <t>Tandil</t>
  </si>
  <si>
    <t>Jueves</t>
  </si>
  <si>
    <t>61 Reuniones</t>
  </si>
  <si>
    <t>72 Reuniones</t>
  </si>
  <si>
    <t>60 Reuniones - 2 huelga</t>
  </si>
  <si>
    <t>70 Reuniones - 2 huelga</t>
  </si>
  <si>
    <t>Azul</t>
  </si>
  <si>
    <t>recauda casi igual los Martes o Jueves que los Sabados</t>
  </si>
  <si>
    <t>Sabado</t>
  </si>
  <si>
    <t>Martes</t>
  </si>
  <si>
    <r>
      <t xml:space="preserve">RECAUDACIONES  SABADOS   SAN ISIDRO vs LA PLATA   </t>
    </r>
    <r>
      <rPr>
        <sz val="14"/>
        <color indexed="8"/>
        <rFont val="Arial Black"/>
        <family val="2"/>
      </rPr>
      <t>2018</t>
    </r>
  </si>
  <si>
    <r>
      <t xml:space="preserve">Solo a Modo de ejemplo , se demuestra que </t>
    </r>
    <r>
      <rPr>
        <b/>
        <sz val="14"/>
        <color indexed="10"/>
        <rFont val="Arial"/>
        <family val="2"/>
      </rPr>
      <t xml:space="preserve">LA PLATA </t>
    </r>
  </si>
  <si>
    <t xml:space="preserve">10 reuniones </t>
  </si>
  <si>
    <t>81 Reuniones -2 Huelga</t>
  </si>
  <si>
    <t>PARO GENERAL</t>
  </si>
  <si>
    <t>Riber - Boca</t>
  </si>
  <si>
    <t>10  reuniones = 1 x huelga</t>
  </si>
  <si>
    <t>a Premios</t>
  </si>
  <si>
    <t>mas q LP</t>
  </si>
  <si>
    <t>Empleados de mas LP</t>
  </si>
  <si>
    <t>$</t>
  </si>
  <si>
    <t>meses</t>
  </si>
  <si>
    <t>A Premios</t>
  </si>
  <si>
    <t xml:space="preserve">82 Reuniones </t>
  </si>
  <si>
    <t>112 Reuniones -1 anuladas</t>
  </si>
  <si>
    <t>91 Reuniones -1 elecciones</t>
  </si>
  <si>
    <t>101 Reuniones -2 Huelga</t>
  </si>
  <si>
    <t>111 Reuniones - 2 Huelga</t>
  </si>
  <si>
    <t>59 Reuniones</t>
  </si>
  <si>
    <t>69 Reuniones</t>
  </si>
  <si>
    <t>79 Reuniones</t>
  </si>
  <si>
    <t>89 Reuniones</t>
  </si>
  <si>
    <t>100 Reuniones</t>
  </si>
  <si>
    <t>110 Reuniones</t>
  </si>
  <si>
    <t>BreedersCup</t>
  </si>
  <si>
    <t>Suspendida</t>
  </si>
  <si>
    <t>Nacional</t>
  </si>
  <si>
    <t>suspendida</t>
  </si>
  <si>
    <t>Dardo Rocha</t>
  </si>
  <si>
    <t>Boca Riber</t>
  </si>
  <si>
    <t>G-20</t>
  </si>
  <si>
    <t>Diferencia a Premios</t>
  </si>
  <si>
    <t>La Plata con San Isidro</t>
  </si>
  <si>
    <t>Palermo con San Isidro</t>
  </si>
  <si>
    <t>&gt;&gt; Total   ANUAL  2018</t>
  </si>
  <si>
    <t>Total de Juego a Premios</t>
  </si>
  <si>
    <t>RESUMEN   DEL   AÑO   2018   y  COMPARACION DE LOS 3  HIPODROMOS</t>
  </si>
  <si>
    <t>Miercoles</t>
  </si>
  <si>
    <r>
      <t>SAN ISIDRO recauda entre</t>
    </r>
    <r>
      <rPr>
        <b/>
        <sz val="14"/>
        <color indexed="12"/>
        <rFont val="Arial"/>
        <family val="2"/>
      </rPr>
      <t xml:space="preserve"> 4M</t>
    </r>
    <r>
      <rPr>
        <b/>
        <sz val="10"/>
        <color indexed="12"/>
        <rFont val="Arial"/>
        <family val="2"/>
      </rPr>
      <t xml:space="preserve"> y </t>
    </r>
    <r>
      <rPr>
        <b/>
        <sz val="14"/>
        <color indexed="12"/>
        <rFont val="Arial"/>
        <family val="2"/>
      </rPr>
      <t>5M</t>
    </r>
    <r>
      <rPr>
        <b/>
        <sz val="10"/>
        <color indexed="12"/>
        <rFont val="Arial"/>
        <family val="2"/>
      </rPr>
      <t xml:space="preserve"> mas x reunion sabatina</t>
    </r>
  </si>
  <si>
    <t xml:space="preserve">y lo mas grave es que Recauda igual que los Martes y Miercoles </t>
  </si>
  <si>
    <r>
      <t>LA PLATA recauda entre</t>
    </r>
    <r>
      <rPr>
        <b/>
        <sz val="14"/>
        <color indexed="10"/>
        <rFont val="Arial"/>
        <family val="2"/>
      </rPr>
      <t xml:space="preserve"> 4</t>
    </r>
    <r>
      <rPr>
        <b/>
        <sz val="14"/>
        <color indexed="10"/>
        <rFont val="Arial"/>
        <family val="2"/>
      </rPr>
      <t>M</t>
    </r>
    <r>
      <rPr>
        <b/>
        <sz val="10"/>
        <color indexed="10"/>
        <rFont val="Arial"/>
        <family val="2"/>
      </rPr>
      <t xml:space="preserve"> y </t>
    </r>
    <r>
      <rPr>
        <b/>
        <sz val="14"/>
        <color indexed="10"/>
        <rFont val="Arial"/>
        <family val="2"/>
      </rPr>
      <t>5M</t>
    </r>
    <r>
      <rPr>
        <b/>
        <sz val="10"/>
        <color indexed="10"/>
        <rFont val="Arial"/>
        <family val="2"/>
      </rPr>
      <t xml:space="preserve"> menos que SAN ISIDRO</t>
    </r>
  </si>
  <si>
    <t xml:space="preserve"> x reunion sabatina</t>
  </si>
  <si>
    <t>10 reuniones - 1 SUSPENDIDA</t>
  </si>
  <si>
    <t>91 Reuniones - 1 anuladas</t>
  </si>
  <si>
    <t>101 Reuniones - 1 anuladas</t>
  </si>
  <si>
    <r>
      <t>120 Reuniones - 2 Huelga =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118</t>
    </r>
  </si>
  <si>
    <r>
      <rPr>
        <b/>
        <sz val="12"/>
        <color indexed="8"/>
        <rFont val="Arial"/>
        <family val="2"/>
      </rPr>
      <t xml:space="preserve">120 </t>
    </r>
    <r>
      <rPr>
        <sz val="10"/>
        <color indexed="8"/>
        <rFont val="Arial"/>
        <family val="2"/>
      </rPr>
      <t>Reuniones</t>
    </r>
  </si>
  <si>
    <r>
      <t>121 Reuniones - 2 anulada =</t>
    </r>
    <r>
      <rPr>
        <b/>
        <sz val="12"/>
        <color indexed="8"/>
        <rFont val="Arial"/>
        <family val="2"/>
      </rPr>
      <t xml:space="preserve"> 119</t>
    </r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</si>
</sst>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#,##0_ ;[Red]\-#,##0\ "/>
    <numFmt numFmtId="174" formatCode="0_ ;[Red]\-0\ "/>
    <numFmt numFmtId="175" formatCode="0.0%"/>
    <numFmt numFmtId="176" formatCode="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20"/>
      <color indexed="8"/>
      <name val="Arial Black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 Black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35"/>
      <color indexed="12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8"/>
      <color indexed="8"/>
      <name val="Arial Black"/>
      <family val="2"/>
    </font>
    <font>
      <sz val="12"/>
      <color indexed="10"/>
      <name val="Arial"/>
      <family val="2"/>
    </font>
    <font>
      <b/>
      <sz val="14"/>
      <color indexed="13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sz val="6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35"/>
      <color theme="1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14"/>
      <color rgb="FF0000FF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sz val="8"/>
      <color rgb="FF00B050"/>
      <name val="Arial"/>
      <family val="2"/>
    </font>
    <font>
      <sz val="11"/>
      <color rgb="FF00B050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8"/>
      <color theme="1"/>
      <name val="Arial Black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FF00"/>
      <name val="Arial"/>
      <family val="2"/>
    </font>
    <font>
      <b/>
      <u val="single"/>
      <sz val="12"/>
      <color theme="1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Arial"/>
      <family val="2"/>
    </font>
    <font>
      <sz val="14"/>
      <color theme="1"/>
      <name val="Arial Black"/>
      <family val="2"/>
    </font>
    <font>
      <sz val="7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0000FF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0000FF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7" fillId="21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81" fillId="0" borderId="8" applyNumberFormat="0" applyFill="0" applyAlignment="0" applyProtection="0"/>
    <xf numFmtId="0" fontId="93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6" fontId="4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16" fontId="4" fillId="34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6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7" fillId="35" borderId="11" xfId="0" applyNumberFormat="1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37" borderId="0" xfId="0" applyFont="1" applyFill="1" applyAlignment="1">
      <alignment/>
    </xf>
    <xf numFmtId="16" fontId="4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" fontId="4" fillId="35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94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95" fillId="0" borderId="10" xfId="0" applyNumberFormat="1" applyFont="1" applyBorder="1" applyAlignment="1">
      <alignment/>
    </xf>
    <xf numFmtId="0" fontId="96" fillId="0" borderId="0" xfId="0" applyFont="1" applyAlignment="1">
      <alignment/>
    </xf>
    <xf numFmtId="16" fontId="3" fillId="34" borderId="0" xfId="0" applyNumberFormat="1" applyFont="1" applyFill="1" applyAlignment="1">
      <alignment horizontal="center"/>
    </xf>
    <xf numFmtId="16" fontId="3" fillId="33" borderId="0" xfId="0" applyNumberFormat="1" applyFont="1" applyFill="1" applyAlignment="1">
      <alignment horizontal="center"/>
    </xf>
    <xf numFmtId="16" fontId="3" fillId="35" borderId="0" xfId="0" applyNumberFormat="1" applyFont="1" applyFill="1" applyAlignment="1">
      <alignment horizontal="center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95" fillId="0" borderId="0" xfId="0" applyFont="1" applyAlignment="1">
      <alignment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8" fillId="0" borderId="0" xfId="0" applyFont="1" applyAlignment="1">
      <alignment horizontal="center"/>
    </xf>
    <xf numFmtId="3" fontId="9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1" fillId="36" borderId="14" xfId="0" applyFont="1" applyFill="1" applyBorder="1" applyAlignment="1">
      <alignment horizontal="center"/>
    </xf>
    <xf numFmtId="0" fontId="98" fillId="0" borderId="15" xfId="0" applyFont="1" applyBorder="1" applyAlignment="1">
      <alignment/>
    </xf>
    <xf numFmtId="0" fontId="0" fillId="0" borderId="16" xfId="0" applyBorder="1" applyAlignment="1">
      <alignment/>
    </xf>
    <xf numFmtId="173" fontId="13" fillId="0" borderId="17" xfId="0" applyNumberFormat="1" applyFont="1" applyBorder="1" applyAlignment="1">
      <alignment/>
    </xf>
    <xf numFmtId="0" fontId="99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98" fillId="0" borderId="0" xfId="0" applyFont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right"/>
    </xf>
    <xf numFmtId="16" fontId="4" fillId="38" borderId="0" xfId="0" applyNumberFormat="1" applyFont="1" applyFill="1" applyAlignment="1">
      <alignment/>
    </xf>
    <xf numFmtId="0" fontId="100" fillId="0" borderId="2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6" fontId="4" fillId="38" borderId="0" xfId="0" applyNumberFormat="1" applyFont="1" applyFill="1" applyAlignment="1">
      <alignment horizontal="center"/>
    </xf>
    <xf numFmtId="0" fontId="101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0" fontId="102" fillId="0" borderId="21" xfId="0" applyFont="1" applyFill="1" applyBorder="1" applyAlignment="1">
      <alignment horizontal="center"/>
    </xf>
    <xf numFmtId="3" fontId="103" fillId="0" borderId="10" xfId="0" applyNumberFormat="1" applyFont="1" applyBorder="1" applyAlignment="1">
      <alignment/>
    </xf>
    <xf numFmtId="3" fontId="97" fillId="39" borderId="0" xfId="0" applyNumberFormat="1" applyFont="1" applyFill="1" applyAlignment="1">
      <alignment/>
    </xf>
    <xf numFmtId="0" fontId="96" fillId="0" borderId="0" xfId="0" applyFont="1" applyAlignment="1">
      <alignment horizontal="center"/>
    </xf>
    <xf numFmtId="0" fontId="104" fillId="0" borderId="22" xfId="0" applyFont="1" applyBorder="1" applyAlignment="1">
      <alignment/>
    </xf>
    <xf numFmtId="0" fontId="105" fillId="0" borderId="23" xfId="0" applyFont="1" applyBorder="1" applyAlignment="1">
      <alignment/>
    </xf>
    <xf numFmtId="173" fontId="106" fillId="0" borderId="17" xfId="0" applyNumberFormat="1" applyFont="1" applyBorder="1" applyAlignment="1">
      <alignment horizontal="center"/>
    </xf>
    <xf numFmtId="10" fontId="107" fillId="0" borderId="24" xfId="0" applyNumberFormat="1" applyFont="1" applyBorder="1" applyAlignment="1">
      <alignment horizontal="center"/>
    </xf>
    <xf numFmtId="10" fontId="16" fillId="0" borderId="24" xfId="0" applyNumberFormat="1" applyFont="1" applyBorder="1" applyAlignment="1">
      <alignment horizontal="center"/>
    </xf>
    <xf numFmtId="3" fontId="106" fillId="0" borderId="12" xfId="0" applyNumberFormat="1" applyFont="1" applyBorder="1" applyAlignment="1">
      <alignment/>
    </xf>
    <xf numFmtId="0" fontId="108" fillId="0" borderId="12" xfId="0" applyFont="1" applyBorder="1" applyAlignment="1">
      <alignment horizontal="right"/>
    </xf>
    <xf numFmtId="0" fontId="108" fillId="0" borderId="12" xfId="0" applyFont="1" applyFill="1" applyBorder="1" applyAlignment="1">
      <alignment/>
    </xf>
    <xf numFmtId="3" fontId="15" fillId="0" borderId="14" xfId="0" applyNumberFormat="1" applyFont="1" applyBorder="1" applyAlignment="1">
      <alignment horizontal="left"/>
    </xf>
    <xf numFmtId="0" fontId="109" fillId="0" borderId="0" xfId="0" applyFont="1" applyAlignment="1">
      <alignment/>
    </xf>
    <xf numFmtId="0" fontId="20" fillId="0" borderId="10" xfId="0" applyFont="1" applyBorder="1" applyAlignment="1">
      <alignment/>
    </xf>
    <xf numFmtId="0" fontId="88" fillId="0" borderId="0" xfId="0" applyFont="1" applyAlignment="1">
      <alignment/>
    </xf>
    <xf numFmtId="0" fontId="110" fillId="0" borderId="0" xfId="0" applyFont="1" applyAlignment="1">
      <alignment/>
    </xf>
    <xf numFmtId="3" fontId="103" fillId="35" borderId="1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98" fillId="0" borderId="12" xfId="0" applyFont="1" applyBorder="1" applyAlignment="1">
      <alignment/>
    </xf>
    <xf numFmtId="174" fontId="8" fillId="36" borderId="25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108" fillId="0" borderId="26" xfId="0" applyFont="1" applyBorder="1" applyAlignment="1">
      <alignment horizontal="right"/>
    </xf>
    <xf numFmtId="2" fontId="3" fillId="0" borderId="26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0" fontId="0" fillId="37" borderId="26" xfId="0" applyFill="1" applyBorder="1" applyAlignment="1">
      <alignment/>
    </xf>
    <xf numFmtId="0" fontId="108" fillId="0" borderId="26" xfId="0" applyFont="1" applyFill="1" applyBorder="1" applyAlignment="1">
      <alignment/>
    </xf>
    <xf numFmtId="3" fontId="7" fillId="35" borderId="27" xfId="0" applyNumberFormat="1" applyFont="1" applyFill="1" applyBorder="1" applyAlignment="1">
      <alignment/>
    </xf>
    <xf numFmtId="174" fontId="7" fillId="36" borderId="26" xfId="0" applyNumberFormat="1" applyFont="1" applyFill="1" applyBorder="1" applyAlignment="1">
      <alignment horizontal="left"/>
    </xf>
    <xf numFmtId="0" fontId="98" fillId="35" borderId="26" xfId="0" applyFont="1" applyFill="1" applyBorder="1" applyAlignment="1">
      <alignment/>
    </xf>
    <xf numFmtId="0" fontId="23" fillId="0" borderId="0" xfId="0" applyFont="1" applyAlignment="1">
      <alignment horizontal="center"/>
    </xf>
    <xf numFmtId="3" fontId="97" fillId="0" borderId="0" xfId="0" applyNumberFormat="1" applyFont="1" applyFill="1" applyAlignment="1">
      <alignment/>
    </xf>
    <xf numFmtId="0" fontId="102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10" fontId="22" fillId="0" borderId="26" xfId="55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0" fillId="36" borderId="11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108" fillId="37" borderId="0" xfId="0" applyFont="1" applyFill="1" applyBorder="1" applyAlignment="1">
      <alignment/>
    </xf>
    <xf numFmtId="0" fontId="108" fillId="37" borderId="0" xfId="0" applyFont="1" applyFill="1" applyBorder="1" applyAlignment="1">
      <alignment horizontal="right"/>
    </xf>
    <xf numFmtId="3" fontId="106" fillId="37" borderId="0" xfId="0" applyNumberFormat="1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12" fillId="37" borderId="0" xfId="0" applyFont="1" applyFill="1" applyBorder="1" applyAlignment="1">
      <alignment horizontal="left"/>
    </xf>
    <xf numFmtId="0" fontId="0" fillId="37" borderId="28" xfId="0" applyFill="1" applyBorder="1" applyAlignment="1">
      <alignment/>
    </xf>
    <xf numFmtId="3" fontId="103" fillId="37" borderId="10" xfId="0" applyNumberFormat="1" applyFont="1" applyFill="1" applyBorder="1" applyAlignment="1">
      <alignment/>
    </xf>
    <xf numFmtId="3" fontId="97" fillId="37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0" fontId="94" fillId="37" borderId="0" xfId="0" applyFont="1" applyFill="1" applyAlignment="1">
      <alignment/>
    </xf>
    <xf numFmtId="3" fontId="3" fillId="37" borderId="10" xfId="0" applyNumberFormat="1" applyFont="1" applyFill="1" applyBorder="1" applyAlignment="1">
      <alignment/>
    </xf>
    <xf numFmtId="3" fontId="14" fillId="37" borderId="0" xfId="0" applyNumberFormat="1" applyFont="1" applyFill="1" applyAlignment="1">
      <alignment/>
    </xf>
    <xf numFmtId="0" fontId="8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9" fontId="3" fillId="0" borderId="26" xfId="55" applyFont="1" applyFill="1" applyBorder="1" applyAlignment="1">
      <alignment horizontal="center"/>
    </xf>
    <xf numFmtId="0" fontId="8" fillId="37" borderId="29" xfId="0" applyFont="1" applyFill="1" applyBorder="1" applyAlignment="1">
      <alignment/>
    </xf>
    <xf numFmtId="3" fontId="103" fillId="37" borderId="29" xfId="0" applyNumberFormat="1" applyFont="1" applyFill="1" applyBorder="1" applyAlignment="1">
      <alignment/>
    </xf>
    <xf numFmtId="0" fontId="98" fillId="0" borderId="22" xfId="0" applyFont="1" applyBorder="1" applyAlignment="1">
      <alignment/>
    </xf>
    <xf numFmtId="0" fontId="0" fillId="0" borderId="23" xfId="0" applyBorder="1" applyAlignment="1">
      <alignment/>
    </xf>
    <xf numFmtId="0" fontId="112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3" fontId="11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24" fillId="0" borderId="10" xfId="0" applyNumberFormat="1" applyFont="1" applyBorder="1" applyAlignment="1">
      <alignment horizontal="center"/>
    </xf>
    <xf numFmtId="3" fontId="103" fillId="39" borderId="10" xfId="0" applyNumberFormat="1" applyFont="1" applyFill="1" applyBorder="1" applyAlignment="1">
      <alignment/>
    </xf>
    <xf numFmtId="3" fontId="7" fillId="0" borderId="0" xfId="0" applyNumberFormat="1" applyFont="1" applyAlignment="1">
      <alignment horizontal="center"/>
    </xf>
    <xf numFmtId="3" fontId="102" fillId="0" borderId="10" xfId="0" applyNumberFormat="1" applyFont="1" applyBorder="1" applyAlignment="1">
      <alignment horizontal="right"/>
    </xf>
    <xf numFmtId="3" fontId="102" fillId="0" borderId="10" xfId="0" applyNumberFormat="1" applyFont="1" applyBorder="1" applyAlignment="1">
      <alignment horizontal="center"/>
    </xf>
    <xf numFmtId="3" fontId="102" fillId="0" borderId="10" xfId="0" applyNumberFormat="1" applyFont="1" applyBorder="1" applyAlignment="1">
      <alignment/>
    </xf>
    <xf numFmtId="3" fontId="114" fillId="40" borderId="0" xfId="0" applyNumberFormat="1" applyFont="1" applyFill="1" applyAlignment="1">
      <alignment/>
    </xf>
    <xf numFmtId="3" fontId="115" fillId="41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16" fillId="0" borderId="0" xfId="0" applyFont="1" applyAlignment="1">
      <alignment/>
    </xf>
    <xf numFmtId="3" fontId="13" fillId="37" borderId="10" xfId="0" applyNumberFormat="1" applyFont="1" applyFill="1" applyBorder="1" applyAlignment="1">
      <alignment/>
    </xf>
    <xf numFmtId="3" fontId="114" fillId="37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0" fontId="117" fillId="35" borderId="0" xfId="0" applyFont="1" applyFill="1" applyAlignment="1">
      <alignment/>
    </xf>
    <xf numFmtId="3" fontId="110" fillId="37" borderId="10" xfId="0" applyNumberFormat="1" applyFont="1" applyFill="1" applyBorder="1" applyAlignment="1">
      <alignment/>
    </xf>
    <xf numFmtId="3" fontId="113" fillId="0" borderId="0" xfId="0" applyNumberFormat="1" applyFont="1" applyAlignment="1">
      <alignment horizontal="center"/>
    </xf>
    <xf numFmtId="0" fontId="101" fillId="42" borderId="0" xfId="0" applyFont="1" applyFill="1" applyAlignment="1">
      <alignment/>
    </xf>
    <xf numFmtId="0" fontId="0" fillId="42" borderId="0" xfId="0" applyFill="1" applyAlignment="1">
      <alignment/>
    </xf>
    <xf numFmtId="3" fontId="102" fillId="43" borderId="10" xfId="0" applyNumberFormat="1" applyFont="1" applyFill="1" applyBorder="1" applyAlignment="1">
      <alignment/>
    </xf>
    <xf numFmtId="3" fontId="118" fillId="35" borderId="0" xfId="0" applyNumberFormat="1" applyFont="1" applyFill="1" applyAlignment="1">
      <alignment/>
    </xf>
    <xf numFmtId="3" fontId="26" fillId="44" borderId="0" xfId="0" applyNumberFormat="1" applyFont="1" applyFill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3" fontId="114" fillId="40" borderId="0" xfId="0" applyNumberFormat="1" applyFont="1" applyFill="1" applyBorder="1" applyAlignment="1">
      <alignment/>
    </xf>
    <xf numFmtId="10" fontId="121" fillId="0" borderId="24" xfId="0" applyNumberFormat="1" applyFont="1" applyBorder="1" applyAlignment="1">
      <alignment horizontal="center"/>
    </xf>
    <xf numFmtId="0" fontId="88" fillId="0" borderId="16" xfId="0" applyFont="1" applyBorder="1" applyAlignment="1">
      <alignment/>
    </xf>
    <xf numFmtId="0" fontId="11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3" fillId="0" borderId="15" xfId="0" applyFont="1" applyBorder="1" applyAlignment="1">
      <alignment/>
    </xf>
    <xf numFmtId="3" fontId="24" fillId="0" borderId="15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118" fillId="0" borderId="15" xfId="0" applyFont="1" applyBorder="1" applyAlignment="1">
      <alignment/>
    </xf>
    <xf numFmtId="0" fontId="98" fillId="0" borderId="10" xfId="0" applyFont="1" applyBorder="1" applyAlignment="1">
      <alignment/>
    </xf>
    <xf numFmtId="0" fontId="0" fillId="0" borderId="33" xfId="0" applyBorder="1" applyAlignment="1">
      <alignment/>
    </xf>
    <xf numFmtId="0" fontId="122" fillId="0" borderId="0" xfId="0" applyFont="1" applyAlignment="1">
      <alignment/>
    </xf>
    <xf numFmtId="3" fontId="13" fillId="0" borderId="10" xfId="0" applyNumberFormat="1" applyFont="1" applyFill="1" applyBorder="1" applyAlignment="1">
      <alignment/>
    </xf>
    <xf numFmtId="3" fontId="24" fillId="37" borderId="10" xfId="0" applyNumberFormat="1" applyFont="1" applyFill="1" applyBorder="1" applyAlignment="1">
      <alignment horizontal="center"/>
    </xf>
    <xf numFmtId="0" fontId="12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9" fontId="0" fillId="0" borderId="14" xfId="0" applyNumberFormat="1" applyBorder="1" applyAlignment="1">
      <alignment/>
    </xf>
    <xf numFmtId="3" fontId="13" fillId="0" borderId="34" xfId="0" applyNumberFormat="1" applyFont="1" applyBorder="1" applyAlignment="1">
      <alignment/>
    </xf>
    <xf numFmtId="0" fontId="0" fillId="0" borderId="18" xfId="0" applyBorder="1" applyAlignment="1">
      <alignment/>
    </xf>
    <xf numFmtId="10" fontId="93" fillId="0" borderId="14" xfId="55" applyNumberFormat="1" applyFont="1" applyBorder="1" applyAlignment="1">
      <alignment/>
    </xf>
    <xf numFmtId="0" fontId="93" fillId="0" borderId="0" xfId="0" applyFont="1" applyAlignment="1">
      <alignment/>
    </xf>
    <xf numFmtId="0" fontId="0" fillId="0" borderId="0" xfId="0" applyBorder="1" applyAlignment="1">
      <alignment/>
    </xf>
    <xf numFmtId="0" fontId="124" fillId="0" borderId="0" xfId="0" applyFont="1" applyAlignment="1">
      <alignment/>
    </xf>
    <xf numFmtId="9" fontId="0" fillId="0" borderId="0" xfId="0" applyNumberFormat="1" applyAlignment="1">
      <alignment/>
    </xf>
    <xf numFmtId="3" fontId="7" fillId="45" borderId="11" xfId="0" applyNumberFormat="1" applyFont="1" applyFill="1" applyBorder="1" applyAlignment="1">
      <alignment/>
    </xf>
    <xf numFmtId="9" fontId="0" fillId="45" borderId="14" xfId="0" applyNumberFormat="1" applyFill="1" applyBorder="1" applyAlignment="1">
      <alignment/>
    </xf>
    <xf numFmtId="3" fontId="13" fillId="45" borderId="34" xfId="0" applyNumberFormat="1" applyFont="1" applyFill="1" applyBorder="1" applyAlignment="1">
      <alignment/>
    </xf>
    <xf numFmtId="0" fontId="0" fillId="45" borderId="18" xfId="0" applyFill="1" applyBorder="1" applyAlignment="1">
      <alignment/>
    </xf>
    <xf numFmtId="0" fontId="8" fillId="37" borderId="0" xfId="0" applyFont="1" applyFill="1" applyAlignment="1">
      <alignment horizontal="right"/>
    </xf>
    <xf numFmtId="10" fontId="125" fillId="0" borderId="24" xfId="0" applyNumberFormat="1" applyFont="1" applyBorder="1" applyAlignment="1">
      <alignment horizontal="center"/>
    </xf>
    <xf numFmtId="3" fontId="103" fillId="0" borderId="10" xfId="0" applyNumberFormat="1" applyFont="1" applyBorder="1" applyAlignment="1">
      <alignment horizontal="center"/>
    </xf>
    <xf numFmtId="0" fontId="126" fillId="0" borderId="0" xfId="0" applyFont="1" applyAlignment="1">
      <alignment horizontal="left"/>
    </xf>
    <xf numFmtId="0" fontId="102" fillId="0" borderId="0" xfId="0" applyFont="1" applyAlignment="1">
      <alignment/>
    </xf>
    <xf numFmtId="3" fontId="7" fillId="45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127" fillId="0" borderId="36" xfId="0" applyFont="1" applyBorder="1" applyAlignment="1">
      <alignment horizontal="right"/>
    </xf>
    <xf numFmtId="0" fontId="0" fillId="0" borderId="37" xfId="0" applyBorder="1" applyAlignment="1">
      <alignment/>
    </xf>
    <xf numFmtId="0" fontId="127" fillId="0" borderId="38" xfId="0" applyFont="1" applyBorder="1" applyAlignment="1">
      <alignment horizontal="right"/>
    </xf>
    <xf numFmtId="173" fontId="7" fillId="45" borderId="21" xfId="0" applyNumberFormat="1" applyFont="1" applyFill="1" applyBorder="1" applyAlignment="1">
      <alignment/>
    </xf>
    <xf numFmtId="9" fontId="128" fillId="0" borderId="39" xfId="55" applyFont="1" applyBorder="1" applyAlignment="1">
      <alignment horizontal="center"/>
    </xf>
    <xf numFmtId="3" fontId="7" fillId="35" borderId="40" xfId="0" applyNumberFormat="1" applyFont="1" applyFill="1" applyBorder="1" applyAlignment="1">
      <alignment/>
    </xf>
    <xf numFmtId="3" fontId="7" fillId="45" borderId="41" xfId="0" applyNumberFormat="1" applyFont="1" applyFill="1" applyBorder="1" applyAlignment="1">
      <alignment/>
    </xf>
    <xf numFmtId="0" fontId="101" fillId="0" borderId="0" xfId="0" applyFont="1" applyAlignment="1">
      <alignment/>
    </xf>
    <xf numFmtId="9" fontId="129" fillId="45" borderId="22" xfId="0" applyNumberFormat="1" applyFont="1" applyFill="1" applyBorder="1" applyAlignment="1">
      <alignment/>
    </xf>
    <xf numFmtId="0" fontId="108" fillId="0" borderId="42" xfId="0" applyFont="1" applyBorder="1" applyAlignment="1">
      <alignment horizontal="right"/>
    </xf>
    <xf numFmtId="9" fontId="129" fillId="45" borderId="11" xfId="0" applyNumberFormat="1" applyFont="1" applyFill="1" applyBorder="1" applyAlignment="1">
      <alignment/>
    </xf>
    <xf numFmtId="173" fontId="124" fillId="0" borderId="43" xfId="0" applyNumberFormat="1" applyFont="1" applyBorder="1" applyAlignment="1">
      <alignment/>
    </xf>
    <xf numFmtId="0" fontId="107" fillId="0" borderId="22" xfId="0" applyFont="1" applyBorder="1" applyAlignment="1">
      <alignment/>
    </xf>
    <xf numFmtId="0" fontId="108" fillId="0" borderId="0" xfId="0" applyFont="1" applyFill="1" applyBorder="1" applyAlignment="1">
      <alignment/>
    </xf>
    <xf numFmtId="0" fontId="108" fillId="0" borderId="0" xfId="0" applyFont="1" applyBorder="1" applyAlignment="1">
      <alignment horizontal="right"/>
    </xf>
    <xf numFmtId="3" fontId="10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9" fontId="129" fillId="45" borderId="15" xfId="0" applyNumberFormat="1" applyFont="1" applyFill="1" applyBorder="1" applyAlignment="1">
      <alignment/>
    </xf>
    <xf numFmtId="3" fontId="13" fillId="45" borderId="29" xfId="0" applyNumberFormat="1" applyFont="1" applyFill="1" applyBorder="1" applyAlignment="1">
      <alignment/>
    </xf>
    <xf numFmtId="0" fontId="0" fillId="45" borderId="24" xfId="0" applyFill="1" applyBorder="1" applyAlignment="1">
      <alignment/>
    </xf>
    <xf numFmtId="9" fontId="129" fillId="45" borderId="17" xfId="0" applyNumberFormat="1" applyFont="1" applyFill="1" applyBorder="1" applyAlignment="1">
      <alignment/>
    </xf>
    <xf numFmtId="0" fontId="107" fillId="0" borderId="15" xfId="0" applyFont="1" applyBorder="1" applyAlignment="1">
      <alignment/>
    </xf>
    <xf numFmtId="0" fontId="105" fillId="0" borderId="16" xfId="0" applyFont="1" applyBorder="1" applyAlignment="1">
      <alignment/>
    </xf>
    <xf numFmtId="0" fontId="130" fillId="0" borderId="15" xfId="0" applyFont="1" applyBorder="1" applyAlignment="1">
      <alignment/>
    </xf>
    <xf numFmtId="0" fontId="23" fillId="0" borderId="15" xfId="0" applyFont="1" applyBorder="1" applyAlignment="1">
      <alignment/>
    </xf>
    <xf numFmtId="3" fontId="20" fillId="0" borderId="0" xfId="0" applyNumberFormat="1" applyFont="1" applyAlignment="1">
      <alignment/>
    </xf>
    <xf numFmtId="0" fontId="131" fillId="0" borderId="12" xfId="0" applyFont="1" applyBorder="1" applyAlignment="1">
      <alignment/>
    </xf>
    <xf numFmtId="0" fontId="33" fillId="0" borderId="0" xfId="0" applyFont="1" applyAlignment="1">
      <alignment/>
    </xf>
    <xf numFmtId="0" fontId="111" fillId="0" borderId="0" xfId="0" applyFont="1" applyAlignment="1">
      <alignment horizontal="right"/>
    </xf>
    <xf numFmtId="0" fontId="2" fillId="46" borderId="44" xfId="0" applyFont="1" applyFill="1" applyBorder="1" applyAlignment="1">
      <alignment horizontal="center"/>
    </xf>
    <xf numFmtId="0" fontId="2" fillId="46" borderId="45" xfId="0" applyFont="1" applyFill="1" applyBorder="1" applyAlignment="1">
      <alignment horizontal="center"/>
    </xf>
    <xf numFmtId="0" fontId="2" fillId="46" borderId="46" xfId="0" applyFont="1" applyFill="1" applyBorder="1" applyAlignment="1">
      <alignment horizontal="center"/>
    </xf>
    <xf numFmtId="0" fontId="29" fillId="37" borderId="44" xfId="0" applyFont="1" applyFill="1" applyBorder="1" applyAlignment="1">
      <alignment horizontal="center"/>
    </xf>
    <xf numFmtId="0" fontId="29" fillId="37" borderId="45" xfId="0" applyFont="1" applyFill="1" applyBorder="1" applyAlignment="1">
      <alignment horizontal="center"/>
    </xf>
    <xf numFmtId="0" fontId="29" fillId="37" borderId="4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180</xdr:row>
      <xdr:rowOff>9525</xdr:rowOff>
    </xdr:from>
    <xdr:to>
      <xdr:col>10</xdr:col>
      <xdr:colOff>371475</xdr:colOff>
      <xdr:row>181</xdr:row>
      <xdr:rowOff>66675</xdr:rowOff>
    </xdr:to>
    <xdr:sp>
      <xdr:nvSpPr>
        <xdr:cNvPr id="1" name="2 Conector recto de flecha"/>
        <xdr:cNvSpPr>
          <a:spLocks/>
        </xdr:cNvSpPr>
      </xdr:nvSpPr>
      <xdr:spPr>
        <a:xfrm rot="16200000" flipH="1">
          <a:off x="7867650" y="40662225"/>
          <a:ext cx="9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2"/>
  <sheetViews>
    <sheetView tabSelected="1" zoomScale="72" zoomScaleNormal="72" zoomScalePageLayoutView="0" workbookViewId="0" topLeftCell="A199">
      <selection activeCell="M222" sqref="M222"/>
    </sheetView>
  </sheetViews>
  <sheetFormatPr defaultColWidth="11.421875" defaultRowHeight="15"/>
  <cols>
    <col min="1" max="1" width="12.57421875" style="0" customWidth="1"/>
    <col min="2" max="2" width="11.8515625" style="0" customWidth="1"/>
    <col min="3" max="3" width="16.57421875" style="0" customWidth="1"/>
    <col min="4" max="4" width="6.57421875" style="0" customWidth="1"/>
    <col min="5" max="5" width="13.421875" style="0" customWidth="1"/>
    <col min="6" max="6" width="3.57421875" style="0" customWidth="1"/>
    <col min="7" max="8" width="12.421875" style="0" customWidth="1"/>
    <col min="9" max="9" width="16.57421875" style="0" customWidth="1"/>
    <col min="10" max="10" width="6.57421875" style="0" customWidth="1"/>
    <col min="11" max="11" width="12.00390625" style="0" customWidth="1"/>
    <col min="12" max="12" width="11.8515625" style="0" customWidth="1"/>
    <col min="13" max="13" width="10.8515625" style="0" customWidth="1"/>
    <col min="14" max="14" width="17.00390625" style="0" customWidth="1"/>
    <col min="15" max="15" width="6.57421875" style="0" customWidth="1"/>
    <col min="16" max="16" width="10.57421875" style="0" customWidth="1"/>
    <col min="17" max="17" width="17.00390625" style="0" customWidth="1"/>
    <col min="18" max="18" width="8.57421875" style="0" customWidth="1"/>
    <col min="19" max="19" width="15.57421875" style="0" customWidth="1"/>
    <col min="20" max="20" width="8.57421875" style="0" customWidth="1"/>
    <col min="21" max="23" width="5.421875" style="0" customWidth="1"/>
    <col min="24" max="24" width="4.00390625" style="0" customWidth="1"/>
    <col min="25" max="25" width="2.57421875" style="0" customWidth="1"/>
    <col min="26" max="27" width="5.421875" style="0" customWidth="1"/>
  </cols>
  <sheetData>
    <row r="1" spans="1:26" ht="32.25" thickBot="1">
      <c r="A1" s="113" t="s">
        <v>53</v>
      </c>
      <c r="U1" s="126" t="s">
        <v>70</v>
      </c>
      <c r="Z1" s="126" t="s">
        <v>62</v>
      </c>
    </row>
    <row r="2" spans="1:28" ht="18.75" thickBot="1">
      <c r="A2" s="210">
        <v>2018</v>
      </c>
      <c r="B2" s="211"/>
      <c r="C2" s="211"/>
      <c r="D2" s="211"/>
      <c r="E2" s="212"/>
      <c r="F2" s="23"/>
      <c r="G2" s="30" t="s">
        <v>10</v>
      </c>
      <c r="H2" s="31" t="s">
        <v>9</v>
      </c>
      <c r="I2" s="32" t="s">
        <v>12</v>
      </c>
      <c r="J2" s="29" t="s">
        <v>11</v>
      </c>
      <c r="K2" s="29"/>
      <c r="M2" s="53" t="s">
        <v>21</v>
      </c>
      <c r="Z2" s="131" t="s">
        <v>71</v>
      </c>
      <c r="AA2" s="23"/>
      <c r="AB2" s="23"/>
    </row>
    <row r="3" spans="1:26" ht="20.25">
      <c r="A3" s="1" t="s">
        <v>0</v>
      </c>
      <c r="B3" s="2"/>
      <c r="C3" s="3" t="s">
        <v>1</v>
      </c>
      <c r="D3" s="4" t="s">
        <v>55</v>
      </c>
      <c r="E3" s="5"/>
      <c r="F3" s="23"/>
      <c r="G3" s="70" t="s">
        <v>7</v>
      </c>
      <c r="I3" s="4" t="s">
        <v>2</v>
      </c>
      <c r="K3" s="5"/>
      <c r="L3" s="70" t="s">
        <v>8</v>
      </c>
      <c r="N3" s="4" t="s">
        <v>2</v>
      </c>
      <c r="U3" s="130" t="s">
        <v>60</v>
      </c>
      <c r="V3" s="130"/>
      <c r="W3" s="130"/>
      <c r="Z3" s="122" t="s">
        <v>63</v>
      </c>
    </row>
    <row r="4" spans="1:26" ht="18">
      <c r="A4" s="27">
        <f>+C4/D4</f>
        <v>716029.9333333333</v>
      </c>
      <c r="B4" s="10">
        <v>43103</v>
      </c>
      <c r="C4" s="39">
        <v>10740449</v>
      </c>
      <c r="D4" s="8">
        <v>15</v>
      </c>
      <c r="E4" s="5"/>
      <c r="F4" s="23"/>
      <c r="G4" s="57">
        <f aca="true" t="shared" si="0" ref="G4:G13">+I4/J4</f>
        <v>836618.9411764706</v>
      </c>
      <c r="H4" s="6">
        <v>43106</v>
      </c>
      <c r="I4" s="58">
        <v>14222522</v>
      </c>
      <c r="J4" s="8">
        <v>17</v>
      </c>
      <c r="K4" s="5"/>
      <c r="L4" s="114">
        <f aca="true" t="shared" si="1" ref="L4:L13">+N4/O4</f>
        <v>635337.2142857143</v>
      </c>
      <c r="M4" s="13">
        <v>43102</v>
      </c>
      <c r="N4" s="40">
        <v>8894721</v>
      </c>
      <c r="O4" s="8">
        <v>14</v>
      </c>
      <c r="U4" s="115" t="s">
        <v>61</v>
      </c>
      <c r="Z4" s="114" t="s">
        <v>64</v>
      </c>
    </row>
    <row r="5" spans="1:26" ht="18">
      <c r="A5" s="127"/>
      <c r="B5" s="11">
        <v>43105</v>
      </c>
      <c r="C5" s="128" t="s">
        <v>54</v>
      </c>
      <c r="D5" s="102"/>
      <c r="E5" s="107"/>
      <c r="F5" s="23"/>
      <c r="G5" s="114">
        <f t="shared" si="0"/>
        <v>638774.9375</v>
      </c>
      <c r="H5" s="13">
        <v>43108</v>
      </c>
      <c r="I5" s="39">
        <v>10220399</v>
      </c>
      <c r="J5" s="8">
        <v>16</v>
      </c>
      <c r="K5" s="5"/>
      <c r="L5" s="114">
        <f t="shared" si="1"/>
        <v>619378.7142857143</v>
      </c>
      <c r="M5" s="13">
        <v>43104</v>
      </c>
      <c r="N5" s="40">
        <v>8671302</v>
      </c>
      <c r="O5" s="8">
        <v>14</v>
      </c>
      <c r="S5" s="30" t="s">
        <v>10</v>
      </c>
      <c r="U5" s="40" t="s">
        <v>68</v>
      </c>
      <c r="Z5" s="27" t="s">
        <v>65</v>
      </c>
    </row>
    <row r="6" spans="1:26" ht="18">
      <c r="A6" s="127"/>
      <c r="B6" s="10">
        <v>43110</v>
      </c>
      <c r="C6" s="128" t="s">
        <v>54</v>
      </c>
      <c r="D6" s="102"/>
      <c r="E6" s="107"/>
      <c r="F6" s="23"/>
      <c r="G6" s="114">
        <f t="shared" si="0"/>
        <v>642336.5714285715</v>
      </c>
      <c r="H6" s="11">
        <v>43112</v>
      </c>
      <c r="I6" s="40">
        <v>8992712</v>
      </c>
      <c r="J6" s="8">
        <v>14</v>
      </c>
      <c r="K6" s="5"/>
      <c r="L6" s="122">
        <f t="shared" si="1"/>
        <v>584622.4285714285</v>
      </c>
      <c r="M6" s="24">
        <v>43107</v>
      </c>
      <c r="N6" s="40">
        <v>8184714</v>
      </c>
      <c r="O6" s="8">
        <v>14</v>
      </c>
      <c r="S6" s="31" t="s">
        <v>9</v>
      </c>
      <c r="U6" s="7" t="s">
        <v>69</v>
      </c>
      <c r="Z6" s="57" t="s">
        <v>66</v>
      </c>
    </row>
    <row r="7" spans="1:28" ht="18">
      <c r="A7" s="57">
        <f>+C7/D7</f>
        <v>863658.8666666667</v>
      </c>
      <c r="B7" s="6">
        <v>43113</v>
      </c>
      <c r="C7" s="58">
        <v>12954883</v>
      </c>
      <c r="D7" s="8">
        <v>15</v>
      </c>
      <c r="E7" s="5"/>
      <c r="F7" s="23"/>
      <c r="G7" s="114">
        <f t="shared" si="0"/>
        <v>696881.0714285715</v>
      </c>
      <c r="H7" s="24">
        <v>43114</v>
      </c>
      <c r="I7" s="7">
        <v>9756335</v>
      </c>
      <c r="J7" s="8">
        <v>14</v>
      </c>
      <c r="K7" s="5"/>
      <c r="L7" s="114">
        <f t="shared" si="1"/>
        <v>654889.1428571428</v>
      </c>
      <c r="M7" s="13">
        <v>43109</v>
      </c>
      <c r="N7" s="7">
        <v>9168448</v>
      </c>
      <c r="O7" s="8">
        <v>14</v>
      </c>
      <c r="S7" s="32" t="s">
        <v>12</v>
      </c>
      <c r="U7" s="39" t="s">
        <v>56</v>
      </c>
      <c r="Z7" s="73" t="s">
        <v>67</v>
      </c>
      <c r="AA7" s="125"/>
      <c r="AB7" s="125"/>
    </row>
    <row r="8" spans="1:30" ht="18">
      <c r="A8" s="114">
        <f>+C8/D8</f>
        <v>667022.1333333333</v>
      </c>
      <c r="B8" s="10">
        <v>43117</v>
      </c>
      <c r="C8" s="39">
        <v>10005332</v>
      </c>
      <c r="D8" s="8">
        <v>15</v>
      </c>
      <c r="E8" s="56" t="s">
        <v>20</v>
      </c>
      <c r="F8" s="23"/>
      <c r="G8" s="27">
        <f t="shared" si="0"/>
        <v>713760.3846153846</v>
      </c>
      <c r="H8" s="13">
        <v>43115</v>
      </c>
      <c r="I8" s="7">
        <v>9278885</v>
      </c>
      <c r="J8" s="8">
        <v>13</v>
      </c>
      <c r="K8" s="5"/>
      <c r="L8" s="114">
        <f t="shared" si="1"/>
        <v>644367.1538461539</v>
      </c>
      <c r="M8" s="13">
        <v>43111</v>
      </c>
      <c r="N8" s="40">
        <v>8376773</v>
      </c>
      <c r="O8" s="8">
        <v>13</v>
      </c>
      <c r="S8" s="59" t="s">
        <v>11</v>
      </c>
      <c r="U8" s="58" t="s">
        <v>57</v>
      </c>
      <c r="V8" s="58"/>
      <c r="W8" s="58"/>
      <c r="X8" s="58"/>
      <c r="Z8" s="118" t="s">
        <v>84</v>
      </c>
      <c r="AA8" s="58"/>
      <c r="AB8" s="58"/>
      <c r="AC8" s="58"/>
      <c r="AD8" s="58"/>
    </row>
    <row r="9" spans="1:24" ht="18">
      <c r="A9" s="122">
        <f>+C9/(D9+E9)</f>
        <v>583182.5333333333</v>
      </c>
      <c r="B9" s="24">
        <v>43121</v>
      </c>
      <c r="C9" s="40">
        <v>8747738</v>
      </c>
      <c r="D9" s="38">
        <v>14</v>
      </c>
      <c r="E9" s="51">
        <v>1</v>
      </c>
      <c r="F9" s="23"/>
      <c r="G9" s="122">
        <f t="shared" si="0"/>
        <v>598125.2666666667</v>
      </c>
      <c r="H9" s="11">
        <v>43119</v>
      </c>
      <c r="I9" s="40">
        <v>8971879</v>
      </c>
      <c r="J9" s="8">
        <v>15</v>
      </c>
      <c r="K9" s="12"/>
      <c r="L9" s="114">
        <f t="shared" si="1"/>
        <v>612774.6428571428</v>
      </c>
      <c r="M9" s="13">
        <v>43116</v>
      </c>
      <c r="N9" s="40">
        <v>8578845</v>
      </c>
      <c r="O9" s="8">
        <v>14</v>
      </c>
      <c r="S9" s="53" t="s">
        <v>21</v>
      </c>
      <c r="U9" s="123" t="s">
        <v>58</v>
      </c>
      <c r="V9" s="123"/>
      <c r="W9" s="123"/>
      <c r="X9" s="123"/>
    </row>
    <row r="10" spans="1:23" ht="18">
      <c r="A10" s="114">
        <f>+C10/D10</f>
        <v>645249.9333333333</v>
      </c>
      <c r="B10" s="10">
        <v>43124</v>
      </c>
      <c r="C10" s="7">
        <v>9678749</v>
      </c>
      <c r="D10" s="8">
        <v>15</v>
      </c>
      <c r="F10" s="23"/>
      <c r="G10" s="114">
        <f t="shared" si="0"/>
        <v>614615.6</v>
      </c>
      <c r="H10" s="13">
        <v>43122</v>
      </c>
      <c r="I10" s="7">
        <v>9219234</v>
      </c>
      <c r="J10" s="8">
        <v>15</v>
      </c>
      <c r="K10" s="5"/>
      <c r="L10" s="114">
        <f t="shared" si="1"/>
        <v>618399.5</v>
      </c>
      <c r="M10" s="13">
        <v>43118</v>
      </c>
      <c r="N10" s="40">
        <v>8657593</v>
      </c>
      <c r="O10" s="8">
        <v>14</v>
      </c>
      <c r="U10" s="124" t="s">
        <v>59</v>
      </c>
      <c r="V10" s="124"/>
      <c r="W10" s="124"/>
    </row>
    <row r="11" spans="1:15" ht="18">
      <c r="A11" s="114">
        <f>+C11/D11</f>
        <v>671073.3333333334</v>
      </c>
      <c r="B11" s="11">
        <v>43126</v>
      </c>
      <c r="C11" s="39">
        <v>10066100</v>
      </c>
      <c r="D11" s="8">
        <v>15</v>
      </c>
      <c r="F11" s="23"/>
      <c r="G11" s="114">
        <f t="shared" si="0"/>
        <v>661263.3333333334</v>
      </c>
      <c r="H11" s="13">
        <v>43125</v>
      </c>
      <c r="I11" s="115">
        <v>7935160</v>
      </c>
      <c r="J11" s="8">
        <v>12</v>
      </c>
      <c r="K11" s="5"/>
      <c r="L11" s="114">
        <f t="shared" si="1"/>
        <v>646701.2666666667</v>
      </c>
      <c r="M11" s="6">
        <v>43120</v>
      </c>
      <c r="N11" s="7">
        <v>9700519</v>
      </c>
      <c r="O11" s="8">
        <v>15</v>
      </c>
    </row>
    <row r="12" spans="1:20" ht="18">
      <c r="A12" s="114">
        <f>+C12/D12</f>
        <v>615699.7857142857</v>
      </c>
      <c r="B12" s="24">
        <v>43128</v>
      </c>
      <c r="C12" s="40">
        <v>8619797</v>
      </c>
      <c r="D12" s="8">
        <v>14</v>
      </c>
      <c r="F12" s="23"/>
      <c r="G12" s="27">
        <f t="shared" si="0"/>
        <v>717566.9333333333</v>
      </c>
      <c r="H12" s="6">
        <v>43127</v>
      </c>
      <c r="I12" s="39">
        <v>10763504</v>
      </c>
      <c r="J12" s="8">
        <v>15</v>
      </c>
      <c r="K12" s="14"/>
      <c r="L12" s="114">
        <f t="shared" si="1"/>
        <v>606936.1428571428</v>
      </c>
      <c r="M12" s="13">
        <v>43123</v>
      </c>
      <c r="N12" s="40">
        <v>8497106</v>
      </c>
      <c r="O12" s="8">
        <v>14</v>
      </c>
      <c r="Q12" s="60" t="s">
        <v>13</v>
      </c>
      <c r="R12" s="61"/>
      <c r="S12" s="60" t="s">
        <v>14</v>
      </c>
      <c r="T12" s="61"/>
    </row>
    <row r="13" spans="1:20" ht="15.75">
      <c r="A13" s="114">
        <f>+C13/D13</f>
        <v>642395.4</v>
      </c>
      <c r="B13" s="10">
        <v>43131</v>
      </c>
      <c r="C13" s="129">
        <v>9635931</v>
      </c>
      <c r="D13" s="49">
        <v>15</v>
      </c>
      <c r="F13" s="23"/>
      <c r="G13" s="114">
        <f t="shared" si="0"/>
        <v>606158</v>
      </c>
      <c r="H13" s="13">
        <v>43129</v>
      </c>
      <c r="I13" s="7">
        <v>9092370</v>
      </c>
      <c r="J13" s="8">
        <v>15</v>
      </c>
      <c r="K13" s="5"/>
      <c r="L13" s="122">
        <f t="shared" si="1"/>
        <v>597996.5384615385</v>
      </c>
      <c r="M13" s="13">
        <v>43130</v>
      </c>
      <c r="N13" s="115">
        <v>7773955</v>
      </c>
      <c r="O13" s="8">
        <v>13</v>
      </c>
      <c r="Q13" s="62">
        <f>+C16-I16</f>
        <v>1706.2238977783127</v>
      </c>
      <c r="R13" s="63">
        <f>+Q13/C16</f>
        <v>0.0025238436380357198</v>
      </c>
      <c r="S13" s="62">
        <f>+C16-N16</f>
        <v>53711.07774620631</v>
      </c>
      <c r="T13" s="63">
        <f>+S13/C16</f>
        <v>0.07944933958451544</v>
      </c>
    </row>
    <row r="14" spans="1:20" ht="15.75">
      <c r="A14" s="117"/>
      <c r="B14" s="10"/>
      <c r="C14" s="119"/>
      <c r="D14" s="38"/>
      <c r="F14" s="23"/>
      <c r="G14" s="28"/>
      <c r="H14" s="13"/>
      <c r="I14" s="40"/>
      <c r="J14" s="8"/>
      <c r="K14" s="5"/>
      <c r="L14" s="114"/>
      <c r="N14" s="7"/>
      <c r="O14" s="8"/>
      <c r="Q14" s="42" t="s">
        <v>24</v>
      </c>
      <c r="R14" s="43"/>
      <c r="S14" s="42" t="s">
        <v>25</v>
      </c>
      <c r="T14" s="43"/>
    </row>
    <row r="15" spans="1:20" ht="15.75">
      <c r="A15" s="34"/>
      <c r="B15" s="2"/>
      <c r="C15" s="15">
        <f>SUM(C4:C14)</f>
        <v>80448979</v>
      </c>
      <c r="D15" s="16">
        <f>SUM(D4:D13)</f>
        <v>118</v>
      </c>
      <c r="E15" s="17">
        <v>1</v>
      </c>
      <c r="F15" s="21"/>
      <c r="G15" s="9"/>
      <c r="I15" s="15">
        <f>SUM(I4:I14)</f>
        <v>98453000</v>
      </c>
      <c r="J15" s="16">
        <f>SUM(J4:J13)</f>
        <v>146</v>
      </c>
      <c r="K15" s="17"/>
      <c r="L15" s="9"/>
      <c r="N15" s="15">
        <f>SUM(N4:N14)</f>
        <v>86503976</v>
      </c>
      <c r="O15" s="16">
        <f>SUM(O4:O13)</f>
        <v>139</v>
      </c>
      <c r="P15" s="41"/>
      <c r="Q15" s="44">
        <f>+C15-I15</f>
        <v>-18004021</v>
      </c>
      <c r="R15" s="141">
        <f>+Q15/C15</f>
        <v>-0.2237942758726621</v>
      </c>
      <c r="S15" s="44">
        <f>+C15-N15</f>
        <v>-6054997</v>
      </c>
      <c r="T15" s="141">
        <f>+S15/C15</f>
        <v>-0.07526505712396922</v>
      </c>
    </row>
    <row r="16" spans="1:20" ht="15.75" thickBot="1">
      <c r="A16" s="67"/>
      <c r="B16" s="66" t="s">
        <v>3</v>
      </c>
      <c r="C16" s="65">
        <f>+C15/(D15+E15)</f>
        <v>676041.8403361344</v>
      </c>
      <c r="D16" s="18">
        <f>+(D15+E15)/8</f>
        <v>14.875</v>
      </c>
      <c r="E16" s="19" t="s">
        <v>4</v>
      </c>
      <c r="F16" s="23"/>
      <c r="G16" s="67"/>
      <c r="H16" s="66" t="s">
        <v>3</v>
      </c>
      <c r="I16" s="65">
        <f>+I15/(J15+K15)</f>
        <v>674335.6164383561</v>
      </c>
      <c r="J16" s="18">
        <f>+(J15+K15)/10</f>
        <v>14.6</v>
      </c>
      <c r="K16" s="19" t="s">
        <v>4</v>
      </c>
      <c r="L16" s="67"/>
      <c r="M16" s="66" t="s">
        <v>3</v>
      </c>
      <c r="N16" s="65">
        <f>+N15/(O15+P15)</f>
        <v>622330.7625899281</v>
      </c>
      <c r="O16" s="18">
        <f>+(O15+P15)/10</f>
        <v>13.9</v>
      </c>
      <c r="P16" s="25"/>
      <c r="Q16" s="54" t="s">
        <v>77</v>
      </c>
      <c r="R16" s="48"/>
      <c r="S16" s="48"/>
      <c r="T16" s="48"/>
    </row>
    <row r="17" spans="1:14" ht="21" thickTop="1">
      <c r="A17" s="33" t="s">
        <v>0</v>
      </c>
      <c r="B17" s="116" t="s">
        <v>5</v>
      </c>
      <c r="D17" s="4" t="s">
        <v>6</v>
      </c>
      <c r="E17" s="5"/>
      <c r="F17" s="23"/>
      <c r="G17" s="70" t="s">
        <v>7</v>
      </c>
      <c r="I17" s="4" t="s">
        <v>6</v>
      </c>
      <c r="J17" s="8"/>
      <c r="K17" s="5"/>
      <c r="L17" s="70" t="s">
        <v>8</v>
      </c>
      <c r="N17" s="4" t="s">
        <v>2</v>
      </c>
    </row>
    <row r="18" spans="1:15" ht="18">
      <c r="A18" s="57">
        <f aca="true" t="shared" si="2" ref="A18:A26">+C18/D18</f>
        <v>811028.9333333333</v>
      </c>
      <c r="B18" s="6">
        <v>43134</v>
      </c>
      <c r="C18" s="58">
        <v>12165434</v>
      </c>
      <c r="D18" s="8">
        <v>15</v>
      </c>
      <c r="E18" s="5"/>
      <c r="F18" s="21"/>
      <c r="G18" s="114">
        <f aca="true" t="shared" si="3" ref="G18:G26">+I18/J18</f>
        <v>643825.2666666667</v>
      </c>
      <c r="H18" s="11">
        <v>43133</v>
      </c>
      <c r="I18" s="7">
        <v>9657379</v>
      </c>
      <c r="J18" s="8">
        <v>15</v>
      </c>
      <c r="K18" s="5"/>
      <c r="L18" s="122">
        <f aca="true" t="shared" si="4" ref="L18:L23">+N18/O18</f>
        <v>579713.1428571428</v>
      </c>
      <c r="M18" s="13">
        <v>43132</v>
      </c>
      <c r="N18" s="40">
        <v>8115984</v>
      </c>
      <c r="O18" s="8">
        <v>14</v>
      </c>
    </row>
    <row r="19" spans="1:15" ht="15.75">
      <c r="A19" s="114">
        <f t="shared" si="2"/>
        <v>663486.7857142857</v>
      </c>
      <c r="B19" s="10">
        <v>43138</v>
      </c>
      <c r="C19" s="7">
        <v>9288815</v>
      </c>
      <c r="D19" s="8">
        <v>14</v>
      </c>
      <c r="E19" s="5"/>
      <c r="F19" s="21"/>
      <c r="G19" s="114">
        <f t="shared" si="3"/>
        <v>606093.8666666667</v>
      </c>
      <c r="H19" s="10">
        <v>43136</v>
      </c>
      <c r="I19" s="7">
        <v>9091408</v>
      </c>
      <c r="J19" s="8">
        <v>15</v>
      </c>
      <c r="K19" s="5"/>
      <c r="L19" s="131">
        <f t="shared" si="4"/>
        <v>477349.53846153844</v>
      </c>
      <c r="M19" s="24">
        <v>43135</v>
      </c>
      <c r="N19" s="136">
        <v>6205544</v>
      </c>
      <c r="O19" s="8">
        <v>13</v>
      </c>
    </row>
    <row r="20" spans="1:15" ht="18">
      <c r="A20" s="114">
        <f t="shared" si="2"/>
        <v>688407.3571428572</v>
      </c>
      <c r="B20" s="11">
        <v>43140</v>
      </c>
      <c r="C20" s="7">
        <v>9637703</v>
      </c>
      <c r="D20" s="8">
        <v>14</v>
      </c>
      <c r="F20" s="21"/>
      <c r="G20" s="57">
        <f t="shared" si="3"/>
        <v>816654.7857142857</v>
      </c>
      <c r="H20" s="6">
        <v>43141</v>
      </c>
      <c r="I20" s="39">
        <v>11433167</v>
      </c>
      <c r="J20" s="8">
        <v>14</v>
      </c>
      <c r="L20" s="122">
        <f t="shared" si="4"/>
        <v>596950.1538461539</v>
      </c>
      <c r="M20" s="13">
        <v>43137</v>
      </c>
      <c r="N20" s="115">
        <v>7760352</v>
      </c>
      <c r="O20" s="8">
        <v>13</v>
      </c>
    </row>
    <row r="21" spans="1:16" ht="18">
      <c r="A21" s="114">
        <f t="shared" si="2"/>
        <v>664707.6</v>
      </c>
      <c r="B21" s="24">
        <v>43142</v>
      </c>
      <c r="C21" s="7">
        <v>9970614</v>
      </c>
      <c r="D21" s="8">
        <v>15</v>
      </c>
      <c r="E21" s="26"/>
      <c r="F21" s="21"/>
      <c r="G21" s="27">
        <f t="shared" si="3"/>
        <v>719572.4666666667</v>
      </c>
      <c r="H21" s="10">
        <v>43143</v>
      </c>
      <c r="I21" s="39">
        <v>10793587</v>
      </c>
      <c r="J21" s="8">
        <v>15</v>
      </c>
      <c r="K21" s="26"/>
      <c r="L21" s="122">
        <f t="shared" si="4"/>
        <v>582876</v>
      </c>
      <c r="M21" s="13">
        <v>43139</v>
      </c>
      <c r="N21" s="136">
        <v>6994512</v>
      </c>
      <c r="O21" s="8">
        <v>12</v>
      </c>
      <c r="P21" s="26"/>
    </row>
    <row r="22" spans="1:15" ht="15.75">
      <c r="A22" s="122">
        <f t="shared" si="2"/>
        <v>596876.9333333333</v>
      </c>
      <c r="B22" s="10">
        <v>43145</v>
      </c>
      <c r="C22" s="40">
        <v>8953154</v>
      </c>
      <c r="D22" s="8">
        <v>15</v>
      </c>
      <c r="F22" s="23"/>
      <c r="G22" s="122">
        <f t="shared" si="3"/>
        <v>585757.0666666667</v>
      </c>
      <c r="H22" s="13">
        <v>43146</v>
      </c>
      <c r="I22" s="40">
        <v>8786356</v>
      </c>
      <c r="J22" s="8">
        <v>15</v>
      </c>
      <c r="L22" s="122">
        <f t="shared" si="4"/>
        <v>598054</v>
      </c>
      <c r="M22" s="13">
        <v>43144</v>
      </c>
      <c r="N22" s="40">
        <v>8372756</v>
      </c>
      <c r="O22" s="49">
        <v>14</v>
      </c>
    </row>
    <row r="23" spans="1:16" ht="15.75">
      <c r="A23" s="114">
        <f t="shared" si="2"/>
        <v>667066.6923076923</v>
      </c>
      <c r="B23" s="11">
        <v>43147</v>
      </c>
      <c r="C23" s="40">
        <v>8671867</v>
      </c>
      <c r="D23" s="8">
        <v>13</v>
      </c>
      <c r="E23" s="26"/>
      <c r="F23" s="23"/>
      <c r="G23" s="114">
        <f t="shared" si="3"/>
        <v>617549.1875</v>
      </c>
      <c r="H23" s="13">
        <v>43150</v>
      </c>
      <c r="I23" s="7">
        <v>9880787</v>
      </c>
      <c r="J23" s="8">
        <v>16</v>
      </c>
      <c r="L23" s="114">
        <f t="shared" si="4"/>
        <v>683748.3571428572</v>
      </c>
      <c r="M23" s="6">
        <v>43148</v>
      </c>
      <c r="N23" s="7">
        <v>9572477</v>
      </c>
      <c r="O23" s="8">
        <v>14</v>
      </c>
      <c r="P23" s="56" t="s">
        <v>20</v>
      </c>
    </row>
    <row r="24" spans="1:16" ht="18">
      <c r="A24" s="114">
        <f t="shared" si="2"/>
        <v>687784.8</v>
      </c>
      <c r="B24" s="13">
        <v>43152</v>
      </c>
      <c r="C24" s="39">
        <v>10316772</v>
      </c>
      <c r="D24" s="8">
        <v>15</v>
      </c>
      <c r="E24" s="69"/>
      <c r="F24" s="23"/>
      <c r="G24" s="114">
        <f t="shared" si="3"/>
        <v>656484.4</v>
      </c>
      <c r="H24" s="11">
        <v>43154</v>
      </c>
      <c r="I24" s="7">
        <v>9847266</v>
      </c>
      <c r="J24" s="8">
        <v>15</v>
      </c>
      <c r="L24" s="121">
        <f>+N24/(O24+P24)</f>
        <v>502486.5</v>
      </c>
      <c r="M24" s="24">
        <v>43149</v>
      </c>
      <c r="N24" s="132">
        <v>7034811</v>
      </c>
      <c r="O24" s="38">
        <v>11</v>
      </c>
      <c r="P24" s="51">
        <v>3</v>
      </c>
    </row>
    <row r="25" spans="1:20" ht="18">
      <c r="A25" s="27">
        <f t="shared" si="2"/>
        <v>770355.0588235294</v>
      </c>
      <c r="B25" s="6">
        <v>43155</v>
      </c>
      <c r="C25" s="58">
        <v>13096036</v>
      </c>
      <c r="D25" s="8">
        <v>17</v>
      </c>
      <c r="E25" s="26"/>
      <c r="F25" s="23"/>
      <c r="G25" s="114">
        <f t="shared" si="3"/>
        <v>645050.5</v>
      </c>
      <c r="H25" s="24">
        <v>43156</v>
      </c>
      <c r="I25" s="7">
        <v>9030707</v>
      </c>
      <c r="J25" s="8">
        <v>14</v>
      </c>
      <c r="L25" s="114">
        <f>+N25/O25</f>
        <v>670273.6428571428</v>
      </c>
      <c r="M25" s="13">
        <v>43151</v>
      </c>
      <c r="N25" s="7">
        <v>9383831</v>
      </c>
      <c r="O25" s="8">
        <v>14</v>
      </c>
      <c r="Q25" s="60" t="s">
        <v>13</v>
      </c>
      <c r="R25" s="61"/>
      <c r="S25" s="60" t="s">
        <v>14</v>
      </c>
      <c r="T25" s="61"/>
    </row>
    <row r="26" spans="1:20" ht="18">
      <c r="A26" s="114">
        <f t="shared" si="2"/>
        <v>629965.3125</v>
      </c>
      <c r="B26" s="10">
        <v>43159</v>
      </c>
      <c r="C26" s="39">
        <v>10079445</v>
      </c>
      <c r="D26" s="8">
        <v>16</v>
      </c>
      <c r="F26" s="23"/>
      <c r="G26" s="114">
        <f t="shared" si="3"/>
        <v>663869.4285714285</v>
      </c>
      <c r="H26" s="13">
        <v>43157</v>
      </c>
      <c r="I26" s="7">
        <v>9294172</v>
      </c>
      <c r="J26" s="8">
        <v>14</v>
      </c>
      <c r="L26" s="114">
        <f>+N26/O26</f>
        <v>642278.4285714285</v>
      </c>
      <c r="M26" s="13">
        <v>43153</v>
      </c>
      <c r="N26" s="40">
        <v>8991898</v>
      </c>
      <c r="O26" s="49">
        <v>14</v>
      </c>
      <c r="P26" s="26"/>
      <c r="Q26" s="62">
        <f>+C29-I29</f>
        <v>27647.38155089214</v>
      </c>
      <c r="R26" s="63">
        <f>+Q26/C29</f>
        <v>0.04019044866881464</v>
      </c>
      <c r="S26" s="62">
        <f>+C29-N29</f>
        <v>96295.05520193151</v>
      </c>
      <c r="T26" s="63">
        <f>+S26/C29</f>
        <v>0.13998220648960577</v>
      </c>
    </row>
    <row r="27" spans="1:20" ht="15.75">
      <c r="A27" s="37"/>
      <c r="B27" s="22"/>
      <c r="C27" s="23"/>
      <c r="D27" s="23"/>
      <c r="E27" s="23"/>
      <c r="F27" s="23"/>
      <c r="G27" s="37"/>
      <c r="H27" s="22"/>
      <c r="I27" s="23"/>
      <c r="J27" s="23"/>
      <c r="K27" s="23"/>
      <c r="L27" s="122">
        <f>+N27/O27</f>
        <v>573383.2857142857</v>
      </c>
      <c r="M27" s="13">
        <v>43158</v>
      </c>
      <c r="N27" s="40">
        <v>8027366</v>
      </c>
      <c r="O27" s="8">
        <v>14</v>
      </c>
      <c r="Q27" s="42" t="s">
        <v>24</v>
      </c>
      <c r="R27" s="43"/>
      <c r="S27" s="42" t="s">
        <v>25</v>
      </c>
      <c r="T27" s="43"/>
    </row>
    <row r="28" spans="1:20" ht="16.5" customHeight="1">
      <c r="A28" s="34"/>
      <c r="B28" s="2"/>
      <c r="C28" s="15">
        <f>SUM(C18:C27)</f>
        <v>92179840</v>
      </c>
      <c r="D28" s="16">
        <f>SUM(D18:D27)</f>
        <v>134</v>
      </c>
      <c r="E28" s="17">
        <v>0</v>
      </c>
      <c r="F28" s="21"/>
      <c r="G28" s="9"/>
      <c r="H28" s="13"/>
      <c r="I28" s="15">
        <f>SUM(I18:I27)</f>
        <v>87814829</v>
      </c>
      <c r="J28" s="16">
        <f>SUM(J18:J27)</f>
        <v>133</v>
      </c>
      <c r="K28" s="17"/>
      <c r="L28" s="9"/>
      <c r="N28" s="15">
        <f>SUM(N18:N27)</f>
        <v>80459531</v>
      </c>
      <c r="O28" s="16">
        <f>SUM(O18:O27)</f>
        <v>133</v>
      </c>
      <c r="P28" s="17">
        <v>3</v>
      </c>
      <c r="Q28" s="44">
        <f>+C28-I28</f>
        <v>4365011</v>
      </c>
      <c r="R28" s="64">
        <f>+Q28/C28</f>
        <v>0.04735320651456978</v>
      </c>
      <c r="S28" s="44">
        <f>+C28-N28</f>
        <v>11720309</v>
      </c>
      <c r="T28" s="64">
        <f>+S28/C28</f>
        <v>0.1271461200193014</v>
      </c>
    </row>
    <row r="29" spans="1:20" ht="15.75" thickBot="1">
      <c r="A29" s="67"/>
      <c r="B29" s="66" t="s">
        <v>3</v>
      </c>
      <c r="C29" s="65">
        <f>+C28/(D28+E28)</f>
        <v>687909.2537313433</v>
      </c>
      <c r="D29" s="18">
        <f>+(D28+E28)/9</f>
        <v>14.88888888888889</v>
      </c>
      <c r="E29" s="19" t="s">
        <v>4</v>
      </c>
      <c r="F29" s="36"/>
      <c r="G29" s="67"/>
      <c r="H29" s="66" t="s">
        <v>3</v>
      </c>
      <c r="I29" s="65">
        <f>+I28/(J28+K28)</f>
        <v>660261.8721804512</v>
      </c>
      <c r="J29" s="18">
        <f>+(J28+K28)/9</f>
        <v>14.777777777777779</v>
      </c>
      <c r="K29" s="19"/>
      <c r="L29" s="67"/>
      <c r="M29" s="66" t="s">
        <v>3</v>
      </c>
      <c r="N29" s="65">
        <f>+N28/(O28+P28)</f>
        <v>591614.1985294118</v>
      </c>
      <c r="O29" s="18">
        <f>+(O28+P28)/10</f>
        <v>13.6</v>
      </c>
      <c r="P29" s="19" t="s">
        <v>4</v>
      </c>
      <c r="Q29" s="68" t="s">
        <v>73</v>
      </c>
      <c r="R29" s="45"/>
      <c r="S29" s="68" t="s">
        <v>72</v>
      </c>
      <c r="T29" s="45"/>
    </row>
    <row r="30" spans="1:14" ht="21" thickTop="1">
      <c r="A30" s="33" t="s">
        <v>0</v>
      </c>
      <c r="B30" s="2"/>
      <c r="C30" s="3" t="s">
        <v>15</v>
      </c>
      <c r="D30" s="4" t="s">
        <v>2</v>
      </c>
      <c r="E30" s="5"/>
      <c r="F30" s="23"/>
      <c r="G30" s="70" t="s">
        <v>7</v>
      </c>
      <c r="I30" s="4" t="s">
        <v>2</v>
      </c>
      <c r="J30" s="8"/>
      <c r="K30" s="5"/>
      <c r="L30" s="70" t="s">
        <v>8</v>
      </c>
      <c r="N30" s="4" t="s">
        <v>16</v>
      </c>
    </row>
    <row r="31" spans="1:19" ht="18">
      <c r="A31" s="27">
        <f>+C31/D31</f>
        <v>774712.375</v>
      </c>
      <c r="B31" s="6">
        <v>43162</v>
      </c>
      <c r="C31" s="58">
        <v>12395398</v>
      </c>
      <c r="D31" s="8">
        <v>16</v>
      </c>
      <c r="E31" s="5"/>
      <c r="F31" s="21"/>
      <c r="G31" s="114">
        <f aca="true" t="shared" si="5" ref="G31:G40">+I31/J31</f>
        <v>667532</v>
      </c>
      <c r="H31" s="11">
        <v>43161</v>
      </c>
      <c r="I31" s="7">
        <v>9345448</v>
      </c>
      <c r="J31" s="8">
        <v>14</v>
      </c>
      <c r="K31" s="5"/>
      <c r="L31" s="114">
        <f aca="true" t="shared" si="6" ref="L31:L37">+N31/O31</f>
        <v>617393.7142857143</v>
      </c>
      <c r="M31" s="13">
        <v>43160</v>
      </c>
      <c r="N31" s="40">
        <v>8643512</v>
      </c>
      <c r="O31" s="8">
        <v>14</v>
      </c>
      <c r="S31" s="30" t="s">
        <v>10</v>
      </c>
    </row>
    <row r="32" spans="1:19" ht="15.75">
      <c r="A32" s="114">
        <f>+C32/D32</f>
        <v>669406.0714285715</v>
      </c>
      <c r="B32" s="13">
        <v>43166</v>
      </c>
      <c r="C32" s="7">
        <v>9371685</v>
      </c>
      <c r="D32" s="8">
        <v>14</v>
      </c>
      <c r="E32" s="55" t="s">
        <v>31</v>
      </c>
      <c r="F32" s="21"/>
      <c r="G32" s="122">
        <f t="shared" si="5"/>
        <v>568080.9333333333</v>
      </c>
      <c r="H32" s="24">
        <v>43163</v>
      </c>
      <c r="I32" s="40">
        <v>8521214</v>
      </c>
      <c r="J32" s="8">
        <v>15</v>
      </c>
      <c r="K32" s="5"/>
      <c r="L32" s="114">
        <f t="shared" si="6"/>
        <v>657350.6153846154</v>
      </c>
      <c r="M32" s="13">
        <v>43165</v>
      </c>
      <c r="N32" s="40">
        <v>8545558</v>
      </c>
      <c r="O32" s="49">
        <v>13</v>
      </c>
      <c r="S32" s="31" t="s">
        <v>9</v>
      </c>
    </row>
    <row r="33" spans="1:19" ht="18">
      <c r="A33" s="114">
        <f>+C33/D33</f>
        <v>660359</v>
      </c>
      <c r="B33" s="11">
        <v>43168</v>
      </c>
      <c r="C33" s="40">
        <v>8584667</v>
      </c>
      <c r="D33" s="8">
        <v>13</v>
      </c>
      <c r="E33" s="56" t="s">
        <v>19</v>
      </c>
      <c r="F33" s="21"/>
      <c r="G33" s="114">
        <f t="shared" si="5"/>
        <v>676566.9333333333</v>
      </c>
      <c r="H33" s="13">
        <v>43164</v>
      </c>
      <c r="I33" s="39">
        <v>10148504</v>
      </c>
      <c r="J33" s="49">
        <v>15</v>
      </c>
      <c r="K33" s="5"/>
      <c r="L33" s="114">
        <f t="shared" si="6"/>
        <v>680247.6923076923</v>
      </c>
      <c r="M33" s="13">
        <v>43167</v>
      </c>
      <c r="N33" s="40">
        <v>8843220</v>
      </c>
      <c r="O33" s="8">
        <v>13</v>
      </c>
      <c r="P33" s="72"/>
      <c r="S33" s="32" t="s">
        <v>12</v>
      </c>
    </row>
    <row r="34" spans="1:19" ht="18">
      <c r="A34" s="117">
        <f>+C34/(D34+E34)</f>
        <v>647830</v>
      </c>
      <c r="B34" s="24">
        <v>43170</v>
      </c>
      <c r="C34" s="7">
        <v>9717450</v>
      </c>
      <c r="D34" s="38">
        <v>14</v>
      </c>
      <c r="E34" s="51">
        <v>1</v>
      </c>
      <c r="F34" s="21"/>
      <c r="G34" s="73">
        <f t="shared" si="5"/>
        <v>1083838.625</v>
      </c>
      <c r="H34" s="6">
        <v>43169</v>
      </c>
      <c r="I34" s="123">
        <v>17341418</v>
      </c>
      <c r="J34" s="8">
        <v>16</v>
      </c>
      <c r="K34" s="5"/>
      <c r="L34" s="114">
        <f t="shared" si="6"/>
        <v>648613</v>
      </c>
      <c r="M34" s="13">
        <v>43172</v>
      </c>
      <c r="N34" s="7">
        <v>9080582</v>
      </c>
      <c r="O34" s="8">
        <v>14</v>
      </c>
      <c r="P34" s="26"/>
      <c r="S34" s="59" t="s">
        <v>11</v>
      </c>
    </row>
    <row r="35" spans="1:19" ht="18">
      <c r="A35" s="114">
        <f aca="true" t="shared" si="7" ref="A35:A40">+C35/D35</f>
        <v>648071.6428571428</v>
      </c>
      <c r="B35" s="13">
        <v>43173</v>
      </c>
      <c r="C35" s="7">
        <v>9073003</v>
      </c>
      <c r="D35" s="49">
        <v>14</v>
      </c>
      <c r="E35" s="26"/>
      <c r="F35" s="23"/>
      <c r="G35" s="27">
        <f t="shared" si="5"/>
        <v>722917.8</v>
      </c>
      <c r="H35" s="13">
        <v>43171</v>
      </c>
      <c r="I35" s="39">
        <v>10843767</v>
      </c>
      <c r="J35" s="8">
        <v>15</v>
      </c>
      <c r="K35" s="5"/>
      <c r="L35" s="114">
        <f t="shared" si="6"/>
        <v>641860.3571428572</v>
      </c>
      <c r="M35" s="13">
        <v>43174</v>
      </c>
      <c r="N35" s="40">
        <v>8986045</v>
      </c>
      <c r="O35" s="49">
        <v>14</v>
      </c>
      <c r="P35" s="35"/>
      <c r="S35" s="53" t="s">
        <v>21</v>
      </c>
    </row>
    <row r="36" spans="1:16" ht="18">
      <c r="A36" s="114">
        <f t="shared" si="7"/>
        <v>634873.5625</v>
      </c>
      <c r="B36" s="13">
        <v>43180</v>
      </c>
      <c r="C36" s="39">
        <v>10157977</v>
      </c>
      <c r="D36" s="8">
        <v>16</v>
      </c>
      <c r="E36" s="26"/>
      <c r="F36" s="23"/>
      <c r="G36" s="27">
        <f t="shared" si="5"/>
        <v>781720.4615384615</v>
      </c>
      <c r="H36" s="11">
        <v>43175</v>
      </c>
      <c r="I36" s="39">
        <v>10162366</v>
      </c>
      <c r="J36" s="8">
        <v>13</v>
      </c>
      <c r="L36" s="122">
        <f t="shared" si="6"/>
        <v>540496.5714285715</v>
      </c>
      <c r="M36" s="24">
        <v>43177</v>
      </c>
      <c r="N36" s="115">
        <v>7566952</v>
      </c>
      <c r="O36" s="8">
        <v>14</v>
      </c>
      <c r="P36" s="35"/>
    </row>
    <row r="37" spans="1:16" ht="18">
      <c r="A37" s="114">
        <f t="shared" si="7"/>
        <v>685962.8125</v>
      </c>
      <c r="B37" s="13">
        <v>43181</v>
      </c>
      <c r="C37" s="39">
        <v>10975405</v>
      </c>
      <c r="D37" s="8">
        <v>16</v>
      </c>
      <c r="E37" s="26" t="s">
        <v>88</v>
      </c>
      <c r="F37" s="23"/>
      <c r="G37" s="57">
        <f t="shared" si="5"/>
        <v>915893.1333333333</v>
      </c>
      <c r="H37" s="6">
        <v>43176</v>
      </c>
      <c r="I37" s="58">
        <v>13738397</v>
      </c>
      <c r="J37" s="8">
        <v>15</v>
      </c>
      <c r="L37" s="114">
        <f t="shared" si="6"/>
        <v>659514.9285714285</v>
      </c>
      <c r="M37" s="13">
        <v>43179</v>
      </c>
      <c r="N37" s="7">
        <v>9233209</v>
      </c>
      <c r="O37" s="49">
        <v>14</v>
      </c>
      <c r="P37" s="35"/>
    </row>
    <row r="38" spans="1:16" ht="18">
      <c r="A38" s="27">
        <f t="shared" si="7"/>
        <v>749855.5</v>
      </c>
      <c r="B38" s="6">
        <v>43183</v>
      </c>
      <c r="C38" s="39">
        <v>11997688</v>
      </c>
      <c r="D38" s="8">
        <v>16</v>
      </c>
      <c r="E38" s="26"/>
      <c r="F38" s="23"/>
      <c r="G38" s="57">
        <f t="shared" si="5"/>
        <v>809048.5384615385</v>
      </c>
      <c r="H38" s="13">
        <v>43178</v>
      </c>
      <c r="I38" s="39">
        <v>10517631</v>
      </c>
      <c r="J38" s="8">
        <v>13</v>
      </c>
      <c r="L38" s="122">
        <f>+N38/O38</f>
        <v>555483.3571428572</v>
      </c>
      <c r="M38" s="24">
        <v>43184</v>
      </c>
      <c r="N38" s="115">
        <v>7776767</v>
      </c>
      <c r="O38" s="49">
        <v>14</v>
      </c>
      <c r="P38" s="35"/>
    </row>
    <row r="39" spans="1:20" ht="18">
      <c r="A39" s="114">
        <f t="shared" si="7"/>
        <v>685247</v>
      </c>
      <c r="B39" s="13">
        <v>42822</v>
      </c>
      <c r="C39" s="39">
        <v>10278705</v>
      </c>
      <c r="D39" s="8">
        <v>15</v>
      </c>
      <c r="F39" s="23"/>
      <c r="G39" s="57">
        <f t="shared" si="5"/>
        <v>808249.7333333333</v>
      </c>
      <c r="H39" s="11">
        <v>43182</v>
      </c>
      <c r="I39" s="58">
        <v>12123746</v>
      </c>
      <c r="J39" s="8">
        <v>15</v>
      </c>
      <c r="L39" s="114">
        <f>+N39/O39</f>
        <v>640473.8461538461</v>
      </c>
      <c r="M39" s="13">
        <v>43186</v>
      </c>
      <c r="N39" s="40">
        <v>8326160</v>
      </c>
      <c r="O39" s="8">
        <v>13</v>
      </c>
      <c r="Q39" s="60" t="s">
        <v>13</v>
      </c>
      <c r="R39" s="61"/>
      <c r="S39" s="60" t="s">
        <v>14</v>
      </c>
      <c r="T39" s="61"/>
    </row>
    <row r="40" spans="1:20" ht="18">
      <c r="A40" s="114">
        <f t="shared" si="7"/>
        <v>696285.9230769231</v>
      </c>
      <c r="B40" s="11">
        <v>42824</v>
      </c>
      <c r="C40" s="7">
        <v>9051717</v>
      </c>
      <c r="D40" s="8">
        <v>13</v>
      </c>
      <c r="E40" s="46"/>
      <c r="F40" s="23"/>
      <c r="G40" s="27">
        <f t="shared" si="5"/>
        <v>771529</v>
      </c>
      <c r="H40" s="13">
        <v>43185</v>
      </c>
      <c r="I40" s="39">
        <v>11572935</v>
      </c>
      <c r="J40" s="8">
        <v>15</v>
      </c>
      <c r="L40" s="114">
        <f>+N40/O40</f>
        <v>680680.2307692308</v>
      </c>
      <c r="M40" s="13">
        <v>43188</v>
      </c>
      <c r="N40" s="40">
        <v>8848843</v>
      </c>
      <c r="O40" s="8">
        <v>13</v>
      </c>
      <c r="Q40" s="62">
        <f>+C43-I43</f>
        <v>-96470.91716031102</v>
      </c>
      <c r="R40" s="141">
        <f>+Q40/C43</f>
        <v>-0.14052339080508863</v>
      </c>
      <c r="S40" s="62">
        <f>+C43-N43</f>
        <v>60066.9692589941</v>
      </c>
      <c r="T40" s="63">
        <f>+S40/C43</f>
        <v>0.08749594638591762</v>
      </c>
    </row>
    <row r="41" spans="1:20" ht="15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22">
        <f>+N41/O41</f>
        <v>582817.9333333333</v>
      </c>
      <c r="M41" s="6">
        <v>43190</v>
      </c>
      <c r="N41" s="40">
        <v>8742269</v>
      </c>
      <c r="O41" s="8">
        <v>15</v>
      </c>
      <c r="Q41" s="42" t="s">
        <v>24</v>
      </c>
      <c r="R41" s="142"/>
      <c r="S41" s="42" t="s">
        <v>25</v>
      </c>
      <c r="T41" s="43"/>
    </row>
    <row r="42" spans="1:20" ht="15.75">
      <c r="A42" s="34"/>
      <c r="B42" s="2"/>
      <c r="C42" s="15">
        <f>SUM(C31:C41)</f>
        <v>101603695</v>
      </c>
      <c r="D42" s="16">
        <f>SUM(D31:D41)</f>
        <v>147</v>
      </c>
      <c r="E42" s="17">
        <v>1</v>
      </c>
      <c r="F42" s="21"/>
      <c r="G42" s="9"/>
      <c r="H42" s="13"/>
      <c r="I42" s="15">
        <f>SUM(I31:I41)</f>
        <v>114315426</v>
      </c>
      <c r="J42" s="16">
        <f>SUM(J31:J41)</f>
        <v>146</v>
      </c>
      <c r="K42" s="17"/>
      <c r="L42" s="9"/>
      <c r="N42" s="15">
        <f>SUM(N31:N41)</f>
        <v>94593117</v>
      </c>
      <c r="O42" s="16">
        <f>SUM(O31:O41)</f>
        <v>151</v>
      </c>
      <c r="P42" s="17"/>
      <c r="Q42" s="44">
        <f>+C42-I42</f>
        <v>-12711731</v>
      </c>
      <c r="R42" s="141">
        <f>+Q42/C42</f>
        <v>-0.1251109125509658</v>
      </c>
      <c r="S42" s="44">
        <f>+C42-N42</f>
        <v>7010578</v>
      </c>
      <c r="T42" s="64">
        <f>+S42/C42</f>
        <v>0.06899924259644298</v>
      </c>
    </row>
    <row r="43" spans="1:20" ht="15.75" thickBot="1">
      <c r="A43" s="67"/>
      <c r="B43" s="66" t="s">
        <v>3</v>
      </c>
      <c r="C43" s="65">
        <f>+C42/(D42+E42)</f>
        <v>686511.4527027027</v>
      </c>
      <c r="D43" s="18">
        <f>+(D42+E42)/10</f>
        <v>14.8</v>
      </c>
      <c r="E43" s="19" t="s">
        <v>4</v>
      </c>
      <c r="F43" s="36"/>
      <c r="G43" s="67"/>
      <c r="H43" s="66" t="s">
        <v>3</v>
      </c>
      <c r="I43" s="65">
        <f>+I42/(J42+K42)</f>
        <v>782982.3698630137</v>
      </c>
      <c r="J43" s="18">
        <f>+(J42+K42)/10</f>
        <v>14.6</v>
      </c>
      <c r="K43" s="19"/>
      <c r="L43" s="67"/>
      <c r="M43" s="66" t="s">
        <v>3</v>
      </c>
      <c r="N43" s="65">
        <f>+N42/(O42+P42)</f>
        <v>626444.4834437086</v>
      </c>
      <c r="O43" s="18">
        <f>+(O42+P42)/11</f>
        <v>13.727272727272727</v>
      </c>
      <c r="P43" s="19" t="s">
        <v>4</v>
      </c>
      <c r="Q43" s="48"/>
      <c r="R43" s="48"/>
      <c r="S43" s="54" t="s">
        <v>75</v>
      </c>
      <c r="T43" s="48"/>
    </row>
    <row r="44" spans="1:20" ht="21" thickTop="1">
      <c r="A44" s="33" t="s">
        <v>0</v>
      </c>
      <c r="B44" s="2"/>
      <c r="C44" s="3" t="s">
        <v>17</v>
      </c>
      <c r="D44" s="4" t="s">
        <v>16</v>
      </c>
      <c r="E44" s="5"/>
      <c r="F44" s="23"/>
      <c r="G44" s="70" t="s">
        <v>7</v>
      </c>
      <c r="I44" s="4" t="s">
        <v>2</v>
      </c>
      <c r="J44" s="8"/>
      <c r="K44" s="5"/>
      <c r="L44" s="70" t="s">
        <v>8</v>
      </c>
      <c r="N44" s="4" t="s">
        <v>6</v>
      </c>
      <c r="O44" s="133" t="s">
        <v>78</v>
      </c>
      <c r="P44" s="134"/>
      <c r="Q44" s="134"/>
      <c r="R44" s="134"/>
      <c r="S44" s="134"/>
      <c r="T44" s="134"/>
    </row>
    <row r="45" spans="1:19" ht="18">
      <c r="A45" s="122">
        <f>+C45/D45</f>
        <v>527264.1875</v>
      </c>
      <c r="B45" s="24">
        <v>43191</v>
      </c>
      <c r="C45" s="40">
        <v>8436227</v>
      </c>
      <c r="D45" s="8">
        <v>16</v>
      </c>
      <c r="F45" s="21"/>
      <c r="G45" s="27">
        <f aca="true" t="shared" si="8" ref="G45:G54">+I45/J45</f>
        <v>770604.7142857143</v>
      </c>
      <c r="H45" s="53">
        <v>43192</v>
      </c>
      <c r="I45" s="39">
        <v>10788466</v>
      </c>
      <c r="J45" s="8">
        <v>14</v>
      </c>
      <c r="K45" s="55"/>
      <c r="L45" s="114">
        <f aca="true" t="shared" si="9" ref="L45:L53">+N45/O45</f>
        <v>666716.3846153846</v>
      </c>
      <c r="M45" s="13">
        <v>43193</v>
      </c>
      <c r="N45" s="40">
        <v>8667313</v>
      </c>
      <c r="O45" s="8">
        <v>13</v>
      </c>
      <c r="S45" s="30" t="s">
        <v>10</v>
      </c>
    </row>
    <row r="46" spans="1:19" ht="18">
      <c r="A46" s="122">
        <f>+C46/D46</f>
        <v>589976.25</v>
      </c>
      <c r="B46" s="13">
        <v>43194</v>
      </c>
      <c r="C46" s="7">
        <v>9439620</v>
      </c>
      <c r="D46" s="49">
        <v>16</v>
      </c>
      <c r="E46" s="55" t="s">
        <v>31</v>
      </c>
      <c r="F46" s="21"/>
      <c r="G46" s="73">
        <f t="shared" si="8"/>
        <v>1119827.4</v>
      </c>
      <c r="H46" s="6">
        <v>43197</v>
      </c>
      <c r="I46" s="123">
        <v>16797411</v>
      </c>
      <c r="J46" s="8">
        <v>15</v>
      </c>
      <c r="K46" s="5"/>
      <c r="L46" s="122">
        <f t="shared" si="9"/>
        <v>598845.6923076923</v>
      </c>
      <c r="M46" s="13">
        <v>43195</v>
      </c>
      <c r="N46" s="115">
        <v>7784994</v>
      </c>
      <c r="O46" s="8">
        <v>13</v>
      </c>
      <c r="S46" s="31" t="s">
        <v>9</v>
      </c>
    </row>
    <row r="47" spans="1:19" ht="15.75">
      <c r="A47" s="122">
        <f>+C47/D47</f>
        <v>563506.2307692308</v>
      </c>
      <c r="B47" s="11">
        <v>43196</v>
      </c>
      <c r="C47" s="115">
        <v>7325581</v>
      </c>
      <c r="D47" s="8">
        <v>13</v>
      </c>
      <c r="E47" s="56" t="s">
        <v>20</v>
      </c>
      <c r="F47" s="21"/>
      <c r="G47" s="114">
        <f t="shared" si="8"/>
        <v>641185.3846153846</v>
      </c>
      <c r="H47" s="13">
        <v>43199</v>
      </c>
      <c r="I47" s="40">
        <v>8335410</v>
      </c>
      <c r="J47" s="8">
        <v>13</v>
      </c>
      <c r="L47" s="135">
        <f t="shared" si="9"/>
        <v>467579.3846153846</v>
      </c>
      <c r="M47" s="13">
        <v>43200</v>
      </c>
      <c r="N47" s="136">
        <v>6078532</v>
      </c>
      <c r="O47" s="8">
        <v>13</v>
      </c>
      <c r="S47" s="32" t="s">
        <v>12</v>
      </c>
    </row>
    <row r="48" spans="1:19" ht="15.75">
      <c r="A48" s="121">
        <f>+C48/(D48+E48)</f>
        <v>550549.8125</v>
      </c>
      <c r="B48" s="24">
        <v>43198</v>
      </c>
      <c r="C48" s="40">
        <v>8808797</v>
      </c>
      <c r="D48" s="8">
        <v>15</v>
      </c>
      <c r="E48" s="51">
        <v>1</v>
      </c>
      <c r="F48" s="21"/>
      <c r="G48" s="114">
        <f t="shared" si="8"/>
        <v>663885.6</v>
      </c>
      <c r="H48" s="13">
        <v>43202</v>
      </c>
      <c r="I48" s="136">
        <v>6638856</v>
      </c>
      <c r="J48" s="8">
        <v>10</v>
      </c>
      <c r="K48" s="26"/>
      <c r="L48" s="135">
        <f t="shared" si="9"/>
        <v>355361.2</v>
      </c>
      <c r="M48" s="24">
        <v>43205</v>
      </c>
      <c r="N48" s="136">
        <v>5330418</v>
      </c>
      <c r="O48" s="49">
        <v>15</v>
      </c>
      <c r="S48" s="59" t="s">
        <v>11</v>
      </c>
    </row>
    <row r="49" spans="1:19" ht="15.75">
      <c r="A49" s="135">
        <f aca="true" t="shared" si="10" ref="A49:A55">+C49/D49</f>
        <v>427907.125</v>
      </c>
      <c r="B49" s="13">
        <v>43201</v>
      </c>
      <c r="C49" s="136">
        <v>6846514</v>
      </c>
      <c r="D49" s="8">
        <v>16</v>
      </c>
      <c r="F49" s="23"/>
      <c r="G49" s="27">
        <f t="shared" si="8"/>
        <v>776912.8181818182</v>
      </c>
      <c r="H49" s="11">
        <v>43203</v>
      </c>
      <c r="I49" s="40">
        <v>8546041</v>
      </c>
      <c r="J49" s="8">
        <v>11</v>
      </c>
      <c r="L49" s="122">
        <f t="shared" si="9"/>
        <v>541852.0909090909</v>
      </c>
      <c r="M49" s="13">
        <v>43207</v>
      </c>
      <c r="N49" s="136">
        <v>5960373</v>
      </c>
      <c r="O49" s="49">
        <v>11</v>
      </c>
      <c r="S49" s="53" t="s">
        <v>21</v>
      </c>
    </row>
    <row r="50" spans="1:15" ht="18">
      <c r="A50" s="27">
        <f t="shared" si="10"/>
        <v>782872.5714285715</v>
      </c>
      <c r="B50" s="6">
        <v>43204</v>
      </c>
      <c r="C50" s="39">
        <v>10960216</v>
      </c>
      <c r="D50" s="8">
        <v>14</v>
      </c>
      <c r="E50" s="26"/>
      <c r="F50" s="23"/>
      <c r="G50" s="122">
        <f t="shared" si="8"/>
        <v>598861.25</v>
      </c>
      <c r="H50" s="13">
        <v>43206</v>
      </c>
      <c r="I50" s="115">
        <v>7186335</v>
      </c>
      <c r="J50" s="8">
        <v>12</v>
      </c>
      <c r="L50" s="114">
        <f t="shared" si="9"/>
        <v>561526.75</v>
      </c>
      <c r="M50" s="13">
        <v>43209</v>
      </c>
      <c r="N50" s="136">
        <v>6738321</v>
      </c>
      <c r="O50" s="8">
        <v>12</v>
      </c>
    </row>
    <row r="51" spans="1:17" ht="15">
      <c r="A51" s="114">
        <f t="shared" si="10"/>
        <v>666657.6923076923</v>
      </c>
      <c r="B51" s="13">
        <v>43208</v>
      </c>
      <c r="C51" s="40">
        <v>8666550</v>
      </c>
      <c r="D51" s="8">
        <v>13</v>
      </c>
      <c r="E51" s="26"/>
      <c r="F51" s="23"/>
      <c r="G51" s="114">
        <f t="shared" si="8"/>
        <v>683976.9</v>
      </c>
      <c r="H51" s="11">
        <v>43210</v>
      </c>
      <c r="I51" s="136">
        <v>6839769</v>
      </c>
      <c r="J51" s="8">
        <v>10</v>
      </c>
      <c r="L51" s="114">
        <f t="shared" si="9"/>
        <v>648299.4</v>
      </c>
      <c r="M51" s="13">
        <v>43214</v>
      </c>
      <c r="N51" s="136">
        <v>6482994</v>
      </c>
      <c r="O51" s="49">
        <v>10</v>
      </c>
      <c r="Q51" s="71"/>
    </row>
    <row r="52" spans="1:17" ht="18">
      <c r="A52" s="57">
        <f t="shared" si="10"/>
        <v>874395.5</v>
      </c>
      <c r="B52" s="6">
        <v>43211</v>
      </c>
      <c r="C52" s="39">
        <v>10492746</v>
      </c>
      <c r="D52" s="8">
        <v>12</v>
      </c>
      <c r="E52" s="26"/>
      <c r="F52" s="23"/>
      <c r="G52" s="114">
        <f t="shared" si="8"/>
        <v>699371.5</v>
      </c>
      <c r="H52" s="24">
        <v>43212</v>
      </c>
      <c r="I52" s="136">
        <v>6993715</v>
      </c>
      <c r="J52" s="8">
        <v>10</v>
      </c>
      <c r="L52" s="114">
        <f t="shared" si="9"/>
        <v>625745.4</v>
      </c>
      <c r="M52" s="13">
        <v>43216</v>
      </c>
      <c r="N52" s="136">
        <v>6257454</v>
      </c>
      <c r="O52" s="49">
        <v>10</v>
      </c>
      <c r="Q52" s="69" t="s">
        <v>23</v>
      </c>
    </row>
    <row r="53" spans="1:20" ht="15">
      <c r="A53" s="27">
        <f t="shared" si="10"/>
        <v>710918.4166666666</v>
      </c>
      <c r="B53" s="13">
        <v>43215</v>
      </c>
      <c r="C53" s="40">
        <v>8531021</v>
      </c>
      <c r="D53" s="8">
        <v>12</v>
      </c>
      <c r="E53" s="26"/>
      <c r="F53" s="23"/>
      <c r="G53" s="27">
        <f t="shared" si="8"/>
        <v>702777.6</v>
      </c>
      <c r="H53" s="13">
        <v>43213</v>
      </c>
      <c r="I53" s="115">
        <v>7027776</v>
      </c>
      <c r="J53" s="8">
        <v>10</v>
      </c>
      <c r="L53" s="135">
        <f t="shared" si="9"/>
        <v>442200.71428571426</v>
      </c>
      <c r="M53" s="24">
        <v>43219</v>
      </c>
      <c r="N53" s="136">
        <v>6190810</v>
      </c>
      <c r="O53" s="8">
        <v>14</v>
      </c>
      <c r="Q53" s="60" t="s">
        <v>13</v>
      </c>
      <c r="R53" s="61"/>
      <c r="S53" s="60" t="s">
        <v>14</v>
      </c>
      <c r="T53" s="61"/>
    </row>
    <row r="54" spans="1:20" ht="18">
      <c r="A54" s="27">
        <f t="shared" si="10"/>
        <v>763278.5833333334</v>
      </c>
      <c r="B54" s="11">
        <v>43217</v>
      </c>
      <c r="C54" s="7">
        <v>9159343</v>
      </c>
      <c r="D54" s="8">
        <v>12</v>
      </c>
      <c r="E54" s="46"/>
      <c r="F54" s="23"/>
      <c r="G54" s="57">
        <f t="shared" si="8"/>
        <v>808393.0714285715</v>
      </c>
      <c r="H54" s="6">
        <v>43218</v>
      </c>
      <c r="I54" s="39">
        <v>11317503</v>
      </c>
      <c r="J54" s="8">
        <v>14</v>
      </c>
      <c r="L54" s="120"/>
      <c r="M54" s="13"/>
      <c r="N54" s="115"/>
      <c r="O54" s="8"/>
      <c r="Q54" s="62">
        <f>+C57-I57</f>
        <v>-114192.91342326393</v>
      </c>
      <c r="R54" s="141">
        <f>+Q54/C57</f>
        <v>-0.17675007414094532</v>
      </c>
      <c r="S54" s="62">
        <f>+C57-N57</f>
        <v>110113.12268847798</v>
      </c>
      <c r="T54" s="63">
        <f>+S54/C57</f>
        <v>0.17043529248562367</v>
      </c>
    </row>
    <row r="55" spans="1:20" ht="15">
      <c r="A55" s="27">
        <f t="shared" si="10"/>
        <v>794668.25</v>
      </c>
      <c r="B55" s="50">
        <v>43220</v>
      </c>
      <c r="C55" s="7">
        <v>9536019</v>
      </c>
      <c r="D55" s="8">
        <v>12</v>
      </c>
      <c r="E55" s="46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42" t="s">
        <v>24</v>
      </c>
      <c r="R55" s="43"/>
      <c r="S55" s="42" t="s">
        <v>25</v>
      </c>
      <c r="T55" s="43"/>
    </row>
    <row r="56" spans="1:20" ht="15">
      <c r="A56" s="34"/>
      <c r="B56" s="2"/>
      <c r="C56" s="15">
        <f>SUM(C45:C55)</f>
        <v>98202634</v>
      </c>
      <c r="D56" s="16">
        <f>SUM(D45:D55)</f>
        <v>151</v>
      </c>
      <c r="E56" s="17">
        <v>1</v>
      </c>
      <c r="F56" s="21"/>
      <c r="G56" s="9"/>
      <c r="H56" s="13"/>
      <c r="I56" s="15">
        <f>SUM(I45:I54)</f>
        <v>90471282</v>
      </c>
      <c r="J56" s="16">
        <f>SUM(J45:J54)</f>
        <v>119</v>
      </c>
      <c r="K56" s="17"/>
      <c r="L56" s="9"/>
      <c r="N56" s="15">
        <f>SUM(N45:N55)</f>
        <v>59491209</v>
      </c>
      <c r="O56" s="16">
        <f>SUM(O45:O55)</f>
        <v>111</v>
      </c>
      <c r="P56" s="17"/>
      <c r="Q56" s="44">
        <f>+C56-I56</f>
        <v>7731352</v>
      </c>
      <c r="R56" s="64">
        <f>+Q56/C56</f>
        <v>0.07872856037649663</v>
      </c>
      <c r="S56" s="44">
        <f>+C56-N56</f>
        <v>38711425</v>
      </c>
      <c r="T56" s="64">
        <f>+S56/C56</f>
        <v>0.3941994570125278</v>
      </c>
    </row>
    <row r="57" spans="1:20" ht="15" thickBot="1">
      <c r="A57" s="67"/>
      <c r="B57" s="66" t="s">
        <v>3</v>
      </c>
      <c r="C57" s="65">
        <f>+C56/(D56+E56)</f>
        <v>646069.9605263158</v>
      </c>
      <c r="D57" s="18">
        <f>+(D56+E56)/10</f>
        <v>15.2</v>
      </c>
      <c r="E57" s="19" t="s">
        <v>4</v>
      </c>
      <c r="F57" s="36"/>
      <c r="G57" s="67"/>
      <c r="H57" s="66" t="s">
        <v>3</v>
      </c>
      <c r="I57" s="65">
        <f>+I56/(J56+K56)</f>
        <v>760262.8739495798</v>
      </c>
      <c r="J57" s="18">
        <f>+(J56+K56)/10</f>
        <v>11.9</v>
      </c>
      <c r="K57" s="19"/>
      <c r="L57" s="67"/>
      <c r="M57" s="66" t="s">
        <v>3</v>
      </c>
      <c r="N57" s="65">
        <f>+N56/(O56+P56)</f>
        <v>535956.8378378379</v>
      </c>
      <c r="O57" s="18">
        <f>+(O56+P56)/10</f>
        <v>11.1</v>
      </c>
      <c r="P57" s="19" t="s">
        <v>4</v>
      </c>
      <c r="Q57" s="54" t="s">
        <v>74</v>
      </c>
      <c r="R57" s="48"/>
      <c r="S57" s="48"/>
      <c r="T57" s="48"/>
    </row>
    <row r="58" spans="1:14" ht="20.25" thickTop="1">
      <c r="A58" s="33" t="s">
        <v>0</v>
      </c>
      <c r="B58" s="2"/>
      <c r="C58" s="3" t="s">
        <v>18</v>
      </c>
      <c r="D58" s="4" t="s">
        <v>2</v>
      </c>
      <c r="E58" s="5"/>
      <c r="F58" s="23"/>
      <c r="G58" s="70" t="s">
        <v>7</v>
      </c>
      <c r="I58" s="4" t="s">
        <v>2</v>
      </c>
      <c r="J58" s="8"/>
      <c r="K58" s="55"/>
      <c r="L58" s="70" t="s">
        <v>8</v>
      </c>
      <c r="N58" s="4" t="s">
        <v>16</v>
      </c>
    </row>
    <row r="59" spans="1:19" ht="18">
      <c r="A59" s="122">
        <f aca="true" t="shared" si="11" ref="A59:A68">+C59/D59</f>
        <v>579592.1333333333</v>
      </c>
      <c r="B59" s="13">
        <v>43222</v>
      </c>
      <c r="C59" s="40">
        <v>8693882</v>
      </c>
      <c r="D59" s="8">
        <v>15</v>
      </c>
      <c r="E59" s="5"/>
      <c r="F59" s="21"/>
      <c r="G59" s="73">
        <f aca="true" t="shared" si="12" ref="G59:G68">+I59/J59</f>
        <v>1978719.294117647</v>
      </c>
      <c r="H59" s="50">
        <v>43221</v>
      </c>
      <c r="I59" s="124">
        <v>33638228</v>
      </c>
      <c r="J59" s="8">
        <v>17</v>
      </c>
      <c r="K59" s="12"/>
      <c r="L59" s="114">
        <f aca="true" t="shared" si="13" ref="L59:L69">+N59/O59</f>
        <v>625085.8461538461</v>
      </c>
      <c r="M59" s="13">
        <v>43223</v>
      </c>
      <c r="N59" s="40">
        <v>8126116</v>
      </c>
      <c r="O59" s="8">
        <v>13</v>
      </c>
      <c r="S59" s="30" t="s">
        <v>10</v>
      </c>
    </row>
    <row r="60" spans="1:19" ht="18">
      <c r="A60" s="57">
        <f t="shared" si="11"/>
        <v>920041.3571428572</v>
      </c>
      <c r="B60" s="6">
        <v>43225</v>
      </c>
      <c r="C60" s="58">
        <v>12880579</v>
      </c>
      <c r="D60" s="8">
        <v>14</v>
      </c>
      <c r="E60" s="47"/>
      <c r="F60" s="21"/>
      <c r="G60" s="57">
        <f t="shared" si="12"/>
        <v>887903.1</v>
      </c>
      <c r="H60" s="11">
        <v>43224</v>
      </c>
      <c r="I60" s="40">
        <v>8879031</v>
      </c>
      <c r="J60" s="8">
        <v>10</v>
      </c>
      <c r="K60" s="12"/>
      <c r="L60" s="135">
        <f t="shared" si="13"/>
        <v>474618.53846153844</v>
      </c>
      <c r="M60" s="24">
        <v>43226</v>
      </c>
      <c r="N60" s="136">
        <v>6170041</v>
      </c>
      <c r="O60" s="8">
        <v>13</v>
      </c>
      <c r="S60" s="31" t="s">
        <v>9</v>
      </c>
    </row>
    <row r="61" spans="1:19" ht="15">
      <c r="A61" s="27">
        <f t="shared" si="11"/>
        <v>708693.6923076923</v>
      </c>
      <c r="B61" s="13">
        <v>43229</v>
      </c>
      <c r="C61" s="7">
        <v>9213018</v>
      </c>
      <c r="D61" s="8">
        <v>13</v>
      </c>
      <c r="F61" s="21"/>
      <c r="G61" s="57">
        <f t="shared" si="12"/>
        <v>882523.3636363636</v>
      </c>
      <c r="H61" s="13">
        <v>43227</v>
      </c>
      <c r="I61" s="7">
        <v>9707757</v>
      </c>
      <c r="J61" s="8">
        <v>11</v>
      </c>
      <c r="L61" s="114">
        <f t="shared" si="13"/>
        <v>690774.4545454546</v>
      </c>
      <c r="M61" s="13">
        <v>43228</v>
      </c>
      <c r="N61" s="115">
        <v>7598519</v>
      </c>
      <c r="O61" s="49">
        <v>11</v>
      </c>
      <c r="S61" s="32" t="s">
        <v>12</v>
      </c>
    </row>
    <row r="62" spans="1:19" ht="18">
      <c r="A62" s="57">
        <f t="shared" si="11"/>
        <v>921766.125</v>
      </c>
      <c r="B62" s="6">
        <v>43232</v>
      </c>
      <c r="C62" s="58">
        <v>14748258</v>
      </c>
      <c r="D62" s="8">
        <v>16</v>
      </c>
      <c r="F62" s="21"/>
      <c r="G62" s="57">
        <f t="shared" si="12"/>
        <v>832166.2</v>
      </c>
      <c r="H62" s="11">
        <v>43231</v>
      </c>
      <c r="I62" s="40">
        <v>8321662</v>
      </c>
      <c r="J62" s="8">
        <v>10</v>
      </c>
      <c r="K62" s="26"/>
      <c r="L62" s="114">
        <f t="shared" si="13"/>
        <v>606981.6</v>
      </c>
      <c r="M62" s="13">
        <v>43230</v>
      </c>
      <c r="N62" s="136">
        <v>6069816</v>
      </c>
      <c r="O62" s="49">
        <v>10</v>
      </c>
      <c r="S62" s="59" t="s">
        <v>11</v>
      </c>
    </row>
    <row r="63" spans="1:19" ht="18">
      <c r="A63" s="114">
        <f t="shared" si="11"/>
        <v>695278.25</v>
      </c>
      <c r="B63" s="13">
        <v>43236</v>
      </c>
      <c r="C63" s="87">
        <v>11124452</v>
      </c>
      <c r="D63" s="49">
        <v>16</v>
      </c>
      <c r="F63" s="23"/>
      <c r="G63" s="57">
        <f t="shared" si="12"/>
        <v>840903.9166666666</v>
      </c>
      <c r="H63" s="24">
        <v>43233</v>
      </c>
      <c r="I63" s="39">
        <v>10090847</v>
      </c>
      <c r="J63" s="8">
        <v>12</v>
      </c>
      <c r="L63" s="114">
        <f t="shared" si="13"/>
        <v>655110.6153846154</v>
      </c>
      <c r="M63" s="13">
        <v>43235</v>
      </c>
      <c r="N63" s="40">
        <v>8516438</v>
      </c>
      <c r="O63" s="49">
        <v>13</v>
      </c>
      <c r="S63" s="53" t="s">
        <v>21</v>
      </c>
    </row>
    <row r="64" spans="1:15" ht="18">
      <c r="A64" s="114">
        <f t="shared" si="11"/>
        <v>696590.25</v>
      </c>
      <c r="B64" s="11">
        <v>43238</v>
      </c>
      <c r="C64" s="87">
        <v>11145444</v>
      </c>
      <c r="D64" s="8">
        <v>16</v>
      </c>
      <c r="E64" s="26"/>
      <c r="F64" s="23"/>
      <c r="G64" s="27">
        <f t="shared" si="12"/>
        <v>733777</v>
      </c>
      <c r="H64" s="13">
        <v>43234</v>
      </c>
      <c r="I64" s="7">
        <v>9539101</v>
      </c>
      <c r="J64" s="8">
        <v>13</v>
      </c>
      <c r="L64" s="114">
        <f t="shared" si="13"/>
        <v>660514.2307692308</v>
      </c>
      <c r="M64" s="13">
        <v>43237</v>
      </c>
      <c r="N64" s="40">
        <v>8586685</v>
      </c>
      <c r="O64" s="8">
        <v>13</v>
      </c>
    </row>
    <row r="65" spans="1:15" ht="18">
      <c r="A65" s="114">
        <f t="shared" si="11"/>
        <v>680145.125</v>
      </c>
      <c r="B65" s="13">
        <v>43243</v>
      </c>
      <c r="C65" s="87">
        <v>10882322</v>
      </c>
      <c r="D65" s="49">
        <v>16</v>
      </c>
      <c r="E65" s="26"/>
      <c r="F65" s="23"/>
      <c r="G65" s="57">
        <f t="shared" si="12"/>
        <v>931174.8</v>
      </c>
      <c r="H65" s="6">
        <v>43239</v>
      </c>
      <c r="I65" s="58">
        <v>13967622</v>
      </c>
      <c r="J65" s="8">
        <v>15</v>
      </c>
      <c r="L65" s="122">
        <f t="shared" si="13"/>
        <v>575367.2666666667</v>
      </c>
      <c r="M65" s="24">
        <v>43240</v>
      </c>
      <c r="N65" s="40">
        <v>8630509</v>
      </c>
      <c r="O65" s="8">
        <v>15</v>
      </c>
    </row>
    <row r="66" spans="1:17" ht="18">
      <c r="A66" s="73">
        <f t="shared" si="11"/>
        <v>1141853.705882353</v>
      </c>
      <c r="B66" s="50">
        <v>43245</v>
      </c>
      <c r="C66" s="140">
        <v>19411513</v>
      </c>
      <c r="D66" s="8">
        <v>17</v>
      </c>
      <c r="E66" s="35" t="s">
        <v>26</v>
      </c>
      <c r="F66" s="23"/>
      <c r="G66" s="57">
        <f t="shared" si="12"/>
        <v>802950.2307692308</v>
      </c>
      <c r="H66" s="13">
        <v>43241</v>
      </c>
      <c r="I66" s="39">
        <v>10438353</v>
      </c>
      <c r="J66" s="8">
        <v>13</v>
      </c>
      <c r="L66" s="114">
        <f t="shared" si="13"/>
        <v>649487.7692307692</v>
      </c>
      <c r="M66" s="13">
        <v>43242</v>
      </c>
      <c r="N66" s="40">
        <v>8443341</v>
      </c>
      <c r="O66" s="8">
        <v>13</v>
      </c>
      <c r="Q66" s="69" t="s">
        <v>23</v>
      </c>
    </row>
    <row r="67" spans="1:20" ht="18">
      <c r="A67" s="114">
        <f t="shared" si="11"/>
        <v>629056.0625</v>
      </c>
      <c r="B67" s="24">
        <v>43247</v>
      </c>
      <c r="C67" s="87">
        <v>10064897</v>
      </c>
      <c r="D67" s="8">
        <v>16</v>
      </c>
      <c r="F67" s="23"/>
      <c r="G67" s="27">
        <f t="shared" si="12"/>
        <v>726238.3076923077</v>
      </c>
      <c r="H67" s="13">
        <v>43244</v>
      </c>
      <c r="I67" s="7">
        <v>9441098</v>
      </c>
      <c r="J67" s="8">
        <v>13</v>
      </c>
      <c r="L67" s="27">
        <f t="shared" si="13"/>
        <v>736903.3571428572</v>
      </c>
      <c r="M67" s="6">
        <v>43246</v>
      </c>
      <c r="N67" s="39">
        <v>10316647</v>
      </c>
      <c r="O67" s="8">
        <v>14</v>
      </c>
      <c r="Q67" s="60" t="s">
        <v>13</v>
      </c>
      <c r="R67" s="61"/>
      <c r="S67" s="60" t="s">
        <v>14</v>
      </c>
      <c r="T67" s="61"/>
    </row>
    <row r="68" spans="1:20" ht="18">
      <c r="A68" s="27">
        <f t="shared" si="11"/>
        <v>734701.25</v>
      </c>
      <c r="B68" s="13">
        <v>43250</v>
      </c>
      <c r="C68" s="87">
        <v>11755220</v>
      </c>
      <c r="D68" s="52">
        <v>16</v>
      </c>
      <c r="E68" s="46"/>
      <c r="F68" s="23"/>
      <c r="G68" s="27">
        <f t="shared" si="12"/>
        <v>760444.0769230769</v>
      </c>
      <c r="H68" s="13">
        <v>43248</v>
      </c>
      <c r="I68" s="7">
        <v>9885773</v>
      </c>
      <c r="J68" s="8">
        <v>13</v>
      </c>
      <c r="L68" s="114">
        <f t="shared" si="13"/>
        <v>663681.5</v>
      </c>
      <c r="M68" s="13">
        <v>43249</v>
      </c>
      <c r="N68" s="7">
        <v>9291541</v>
      </c>
      <c r="O68" s="49">
        <v>14</v>
      </c>
      <c r="Q68" s="62">
        <f>+C71-I71</f>
        <v>-201990.3919227838</v>
      </c>
      <c r="R68" s="141">
        <f>+Q68/C71</f>
        <v>-0.2610792119404974</v>
      </c>
      <c r="S68" s="62">
        <f>+C71-N71</f>
        <v>139785.35032709222</v>
      </c>
      <c r="T68" s="63">
        <f>+S68/C71</f>
        <v>0.18067715378350663</v>
      </c>
    </row>
    <row r="69" spans="1:20" ht="15">
      <c r="A69" s="37"/>
      <c r="B69" s="23"/>
      <c r="C69" s="23"/>
      <c r="D69" s="23"/>
      <c r="E69" s="23"/>
      <c r="F69" s="23"/>
      <c r="G69" s="37"/>
      <c r="H69" s="23"/>
      <c r="I69" s="23"/>
      <c r="J69" s="23"/>
      <c r="K69" s="23"/>
      <c r="L69" s="114">
        <f t="shared" si="13"/>
        <v>635466.4285714285</v>
      </c>
      <c r="M69" s="13">
        <v>43251</v>
      </c>
      <c r="N69" s="40">
        <v>8896530</v>
      </c>
      <c r="O69" s="8">
        <v>14</v>
      </c>
      <c r="Q69" s="42" t="s">
        <v>24</v>
      </c>
      <c r="R69" s="142"/>
      <c r="S69" s="42" t="s">
        <v>25</v>
      </c>
      <c r="T69" s="43"/>
    </row>
    <row r="70" spans="1:20" ht="15">
      <c r="A70" s="34"/>
      <c r="B70" s="2"/>
      <c r="C70" s="15">
        <f>SUM(C59:C69)</f>
        <v>119919585</v>
      </c>
      <c r="D70" s="16">
        <f>SUM(D59:D69)</f>
        <v>155</v>
      </c>
      <c r="E70" s="17">
        <v>0</v>
      </c>
      <c r="F70" s="21"/>
      <c r="G70" s="9"/>
      <c r="H70" s="13"/>
      <c r="I70" s="15">
        <f>SUM(I59:I69)</f>
        <v>123909472</v>
      </c>
      <c r="J70" s="16">
        <f>SUM(J59:J69)</f>
        <v>127</v>
      </c>
      <c r="K70" s="17"/>
      <c r="L70" s="9"/>
      <c r="N70" s="15">
        <f>SUM(N59:N69)</f>
        <v>90646183</v>
      </c>
      <c r="O70" s="16">
        <f>SUM(O59:O69)</f>
        <v>143</v>
      </c>
      <c r="P70" s="17"/>
      <c r="Q70" s="44">
        <f>+C70-I70</f>
        <v>-3989887</v>
      </c>
      <c r="R70" s="141">
        <f>+Q70/C70</f>
        <v>-0.03327135429963338</v>
      </c>
      <c r="S70" s="44">
        <f>+C70-N70</f>
        <v>29273402</v>
      </c>
      <c r="T70" s="64">
        <f>+S70/C70</f>
        <v>0.24410859994220294</v>
      </c>
    </row>
    <row r="71" spans="1:20" ht="15" thickBot="1">
      <c r="A71" s="67"/>
      <c r="B71" s="66" t="s">
        <v>3</v>
      </c>
      <c r="C71" s="65">
        <f>+C70/(D70+E70)</f>
        <v>773674.7419354839</v>
      </c>
      <c r="D71" s="18">
        <f>+(D70+E70)/11</f>
        <v>14.090909090909092</v>
      </c>
      <c r="E71" s="19" t="s">
        <v>4</v>
      </c>
      <c r="F71" s="36"/>
      <c r="G71" s="67"/>
      <c r="H71" s="66" t="s">
        <v>3</v>
      </c>
      <c r="I71" s="65">
        <f>+I70/(J70+K70)</f>
        <v>975665.1338582677</v>
      </c>
      <c r="J71" s="18">
        <f>+(J70+K70)/10</f>
        <v>12.7</v>
      </c>
      <c r="K71" s="19"/>
      <c r="L71" s="67"/>
      <c r="M71" s="66" t="s">
        <v>3</v>
      </c>
      <c r="N71" s="65">
        <f>+N70/(O70+P70)</f>
        <v>633889.3916083917</v>
      </c>
      <c r="O71" s="18">
        <f>+(O70+P70)/10</f>
        <v>14.3</v>
      </c>
      <c r="P71" s="19" t="s">
        <v>4</v>
      </c>
      <c r="Q71" s="54"/>
      <c r="R71" s="48"/>
      <c r="S71" s="54" t="s">
        <v>75</v>
      </c>
      <c r="T71" s="48"/>
    </row>
    <row r="72" spans="1:14" ht="20.25" thickTop="1">
      <c r="A72" s="1" t="s">
        <v>0</v>
      </c>
      <c r="B72" s="2"/>
      <c r="C72" s="3" t="s">
        <v>22</v>
      </c>
      <c r="D72" s="4" t="s">
        <v>2</v>
      </c>
      <c r="E72" s="5"/>
      <c r="F72" s="23"/>
      <c r="G72" s="70" t="s">
        <v>7</v>
      </c>
      <c r="I72" s="4" t="s">
        <v>2</v>
      </c>
      <c r="J72" s="8"/>
      <c r="K72" s="5"/>
      <c r="L72" s="70" t="s">
        <v>8</v>
      </c>
      <c r="N72" s="4" t="s">
        <v>2</v>
      </c>
    </row>
    <row r="73" spans="1:15" ht="18">
      <c r="A73" s="57">
        <f>+C73/D73</f>
        <v>894735.0625</v>
      </c>
      <c r="B73" s="6">
        <v>43253</v>
      </c>
      <c r="C73" s="58">
        <v>14315761</v>
      </c>
      <c r="D73" s="8">
        <v>16</v>
      </c>
      <c r="E73" s="5"/>
      <c r="F73" s="21"/>
      <c r="G73" s="57">
        <f aca="true" t="shared" si="14" ref="G73:G82">+I73/J73</f>
        <v>959539.5454545454</v>
      </c>
      <c r="H73" s="11">
        <v>43252</v>
      </c>
      <c r="I73" s="39">
        <v>10554935</v>
      </c>
      <c r="J73" s="8">
        <v>11</v>
      </c>
      <c r="K73" s="5"/>
      <c r="L73" s="122">
        <f aca="true" t="shared" si="15" ref="L73:L82">+N73/O73</f>
        <v>515369</v>
      </c>
      <c r="M73" s="24">
        <v>43254</v>
      </c>
      <c r="N73" s="115">
        <v>7730535</v>
      </c>
      <c r="O73" s="8">
        <v>15</v>
      </c>
    </row>
    <row r="74" spans="1:19" ht="18">
      <c r="A74" s="27">
        <f>+C74/D74</f>
        <v>724898.1875</v>
      </c>
      <c r="B74" s="13">
        <v>43257</v>
      </c>
      <c r="C74" s="87">
        <v>11598371</v>
      </c>
      <c r="D74" s="8">
        <v>16</v>
      </c>
      <c r="E74" s="56" t="s">
        <v>79</v>
      </c>
      <c r="F74" s="21"/>
      <c r="G74" s="73">
        <f t="shared" si="14"/>
        <v>1038919.6363636364</v>
      </c>
      <c r="H74" s="13">
        <v>43255</v>
      </c>
      <c r="I74" s="39">
        <v>11428116</v>
      </c>
      <c r="J74" s="8">
        <v>11</v>
      </c>
      <c r="K74" s="5"/>
      <c r="L74" s="27">
        <f t="shared" si="15"/>
        <v>721004.7142857143</v>
      </c>
      <c r="M74" s="13">
        <v>43256</v>
      </c>
      <c r="N74" s="39">
        <v>10094066</v>
      </c>
      <c r="O74" s="49">
        <v>14</v>
      </c>
      <c r="S74" s="30" t="s">
        <v>10</v>
      </c>
    </row>
    <row r="75" spans="1:19" ht="18">
      <c r="A75" s="57">
        <f>+C75/(D75+E75)</f>
        <v>922032.0588235294</v>
      </c>
      <c r="B75" s="6">
        <v>43260</v>
      </c>
      <c r="C75" s="140">
        <v>15674545</v>
      </c>
      <c r="D75" s="38">
        <v>15</v>
      </c>
      <c r="E75" s="51">
        <v>2</v>
      </c>
      <c r="F75" s="21"/>
      <c r="G75" s="57">
        <f t="shared" si="14"/>
        <v>939749.5454545454</v>
      </c>
      <c r="H75" s="11">
        <v>43259</v>
      </c>
      <c r="I75" s="39">
        <v>10337245</v>
      </c>
      <c r="J75" s="8">
        <v>11</v>
      </c>
      <c r="L75" s="27">
        <f t="shared" si="15"/>
        <v>717142</v>
      </c>
      <c r="M75" s="13">
        <v>43258</v>
      </c>
      <c r="N75" s="39">
        <v>10039988</v>
      </c>
      <c r="O75" s="8">
        <v>14</v>
      </c>
      <c r="S75" s="31" t="s">
        <v>9</v>
      </c>
    </row>
    <row r="76" spans="1:19" ht="18">
      <c r="A76" s="27">
        <f aca="true" t="shared" si="16" ref="A76:A82">+C76/D76</f>
        <v>700366.8125</v>
      </c>
      <c r="B76" s="24">
        <v>43261</v>
      </c>
      <c r="C76" s="87">
        <v>11205869</v>
      </c>
      <c r="D76" s="8">
        <v>16</v>
      </c>
      <c r="F76" s="21"/>
      <c r="G76" s="57">
        <f t="shared" si="14"/>
        <v>973735</v>
      </c>
      <c r="H76" s="13">
        <v>43262</v>
      </c>
      <c r="I76" s="7">
        <v>9737350</v>
      </c>
      <c r="J76" s="8">
        <v>10</v>
      </c>
      <c r="K76" s="26"/>
      <c r="L76" s="27">
        <f t="shared" si="15"/>
        <v>743460</v>
      </c>
      <c r="M76" s="13">
        <v>43263</v>
      </c>
      <c r="N76" s="7">
        <v>9664980</v>
      </c>
      <c r="O76" s="8">
        <v>13</v>
      </c>
      <c r="S76" s="32" t="s">
        <v>12</v>
      </c>
    </row>
    <row r="77" spans="1:19" ht="18">
      <c r="A77" s="27">
        <f t="shared" si="16"/>
        <v>752809.4375</v>
      </c>
      <c r="B77" s="10">
        <v>43264</v>
      </c>
      <c r="C77" s="137">
        <v>12044951</v>
      </c>
      <c r="D77" s="8">
        <v>16</v>
      </c>
      <c r="F77" s="23"/>
      <c r="G77" s="57">
        <f t="shared" si="14"/>
        <v>985886.3333333334</v>
      </c>
      <c r="H77" s="6">
        <v>43267</v>
      </c>
      <c r="I77" s="39">
        <v>11830636</v>
      </c>
      <c r="J77" s="8">
        <v>12</v>
      </c>
      <c r="L77" s="27">
        <f t="shared" si="15"/>
        <v>722517.4615384615</v>
      </c>
      <c r="M77" s="13">
        <v>43265</v>
      </c>
      <c r="N77" s="7">
        <v>9392727</v>
      </c>
      <c r="O77" s="49">
        <v>13</v>
      </c>
      <c r="S77" s="59" t="s">
        <v>11</v>
      </c>
    </row>
    <row r="78" spans="1:19" ht="18">
      <c r="A78" s="27">
        <f t="shared" si="16"/>
        <v>713565.7058823529</v>
      </c>
      <c r="B78" s="11">
        <v>43266</v>
      </c>
      <c r="C78" s="137">
        <v>12130617</v>
      </c>
      <c r="D78" s="8">
        <v>17</v>
      </c>
      <c r="F78" s="23"/>
      <c r="G78" s="57">
        <f t="shared" si="14"/>
        <v>917865.0909090909</v>
      </c>
      <c r="H78" s="13">
        <v>43269</v>
      </c>
      <c r="I78" s="39">
        <v>10096516</v>
      </c>
      <c r="J78" s="8">
        <v>11</v>
      </c>
      <c r="L78" s="122">
        <f t="shared" si="15"/>
        <v>561441.8333333334</v>
      </c>
      <c r="M78" s="24">
        <v>43268</v>
      </c>
      <c r="N78" s="136">
        <v>6737302</v>
      </c>
      <c r="O78" s="49">
        <v>12</v>
      </c>
      <c r="S78" s="53" t="s">
        <v>21</v>
      </c>
    </row>
    <row r="79" spans="1:15" ht="18">
      <c r="A79" s="27">
        <f t="shared" si="16"/>
        <v>792606.8823529412</v>
      </c>
      <c r="B79" s="50">
        <v>43271</v>
      </c>
      <c r="C79" s="137">
        <v>13474317</v>
      </c>
      <c r="D79" s="8">
        <v>17</v>
      </c>
      <c r="E79" s="26"/>
      <c r="F79" s="23"/>
      <c r="G79" s="57">
        <f t="shared" si="14"/>
        <v>853623.4166666666</v>
      </c>
      <c r="H79" s="11">
        <v>43273</v>
      </c>
      <c r="I79" s="39">
        <v>10243481</v>
      </c>
      <c r="J79" s="8">
        <v>12</v>
      </c>
      <c r="L79" s="27">
        <f t="shared" si="15"/>
        <v>725763.6923076923</v>
      </c>
      <c r="M79" s="13">
        <v>43270</v>
      </c>
      <c r="N79" s="7">
        <v>9434928</v>
      </c>
      <c r="O79" s="49">
        <v>13</v>
      </c>
    </row>
    <row r="80" spans="1:15" ht="18">
      <c r="A80" s="57">
        <f t="shared" si="16"/>
        <v>896309.4117647059</v>
      </c>
      <c r="B80" s="6">
        <v>43274</v>
      </c>
      <c r="C80" s="140">
        <v>15237260</v>
      </c>
      <c r="D80" s="8">
        <v>17</v>
      </c>
      <c r="F80" s="23"/>
      <c r="G80" s="27">
        <f t="shared" si="14"/>
        <v>773549.5</v>
      </c>
      <c r="H80" s="24">
        <v>43275</v>
      </c>
      <c r="I80" s="7">
        <v>9282594</v>
      </c>
      <c r="J80" s="8">
        <v>12</v>
      </c>
      <c r="K80" s="86"/>
      <c r="L80" s="122">
        <f t="shared" si="15"/>
        <v>566194.9230769231</v>
      </c>
      <c r="M80" s="13">
        <v>43272</v>
      </c>
      <c r="N80" s="115">
        <v>7360534</v>
      </c>
      <c r="O80" s="8">
        <v>13</v>
      </c>
    </row>
    <row r="81" spans="1:20" ht="18">
      <c r="A81" s="114">
        <f t="shared" si="16"/>
        <v>691186.8125</v>
      </c>
      <c r="B81" s="13">
        <v>43278</v>
      </c>
      <c r="C81" s="87">
        <v>11058989</v>
      </c>
      <c r="D81" s="8">
        <v>16</v>
      </c>
      <c r="E81" s="26"/>
      <c r="F81" s="23"/>
      <c r="G81" s="114">
        <f t="shared" si="14"/>
        <v>691404.7272727273</v>
      </c>
      <c r="H81" s="13">
        <v>43276</v>
      </c>
      <c r="I81" s="115">
        <v>7605452</v>
      </c>
      <c r="J81" s="8">
        <v>11</v>
      </c>
      <c r="K81" s="139" t="s">
        <v>81</v>
      </c>
      <c r="L81" s="122">
        <f t="shared" si="15"/>
        <v>554975.0769230769</v>
      </c>
      <c r="M81" s="13">
        <v>43277</v>
      </c>
      <c r="N81" s="115">
        <v>7214676</v>
      </c>
      <c r="O81" s="49">
        <v>13</v>
      </c>
      <c r="P81" s="138" t="s">
        <v>82</v>
      </c>
      <c r="Q81" s="60" t="s">
        <v>13</v>
      </c>
      <c r="R81" s="61"/>
      <c r="S81" s="60" t="s">
        <v>14</v>
      </c>
      <c r="T81" s="61"/>
    </row>
    <row r="82" spans="1:20" ht="18">
      <c r="A82" s="27">
        <f t="shared" si="16"/>
        <v>744119</v>
      </c>
      <c r="B82" s="11">
        <v>43280</v>
      </c>
      <c r="C82" s="137">
        <v>12650023</v>
      </c>
      <c r="D82" s="52">
        <v>17</v>
      </c>
      <c r="E82" s="26"/>
      <c r="F82" s="23"/>
      <c r="G82" s="73">
        <f t="shared" si="14"/>
        <v>1482314.111111111</v>
      </c>
      <c r="H82" s="6">
        <v>43281</v>
      </c>
      <c r="I82" s="58">
        <v>13340827</v>
      </c>
      <c r="J82" s="8">
        <v>9</v>
      </c>
      <c r="K82" s="175" t="s">
        <v>83</v>
      </c>
      <c r="L82" s="27">
        <f t="shared" si="15"/>
        <v>766084.8461538461</v>
      </c>
      <c r="M82" s="13">
        <v>43279</v>
      </c>
      <c r="N82" s="7">
        <v>9959103</v>
      </c>
      <c r="O82" s="8">
        <v>13</v>
      </c>
      <c r="Q82" s="62">
        <f>+C85-I85</f>
        <v>-165424.39393939404</v>
      </c>
      <c r="R82" s="141">
        <f>+Q82/C85</f>
        <v>-0.21095043436003294</v>
      </c>
      <c r="S82" s="62">
        <f>+C85-N85</f>
        <v>125322.62766005914</v>
      </c>
      <c r="T82" s="63">
        <f>+S82/C85</f>
        <v>0.15981235965546736</v>
      </c>
    </row>
    <row r="83" spans="1:20" ht="15">
      <c r="A83" s="23"/>
      <c r="B83" s="23"/>
      <c r="C83" s="23"/>
      <c r="D83" s="23"/>
      <c r="E83" s="23"/>
      <c r="F83" s="23"/>
      <c r="G83" s="37"/>
      <c r="H83" s="23"/>
      <c r="I83" s="23"/>
      <c r="J83" s="23"/>
      <c r="K83" s="23"/>
      <c r="L83" s="114"/>
      <c r="M83" s="13"/>
      <c r="N83" s="7"/>
      <c r="O83" s="8"/>
      <c r="P83" s="23"/>
      <c r="Q83" s="42" t="s">
        <v>24</v>
      </c>
      <c r="R83" s="43"/>
      <c r="S83" s="42" t="s">
        <v>25</v>
      </c>
      <c r="T83" s="43"/>
    </row>
    <row r="84" spans="1:20" ht="15">
      <c r="A84" s="34"/>
      <c r="B84" s="2"/>
      <c r="C84" s="15">
        <f>SUM(C73:C82)</f>
        <v>129390703</v>
      </c>
      <c r="D84" s="16">
        <f>SUM(D73:D82)</f>
        <v>163</v>
      </c>
      <c r="E84" s="17">
        <v>2</v>
      </c>
      <c r="F84" s="21"/>
      <c r="G84" s="9"/>
      <c r="H84" s="13"/>
      <c r="I84" s="15">
        <f>SUM(I73:I82)</f>
        <v>104457152</v>
      </c>
      <c r="J84" s="16">
        <f>SUM(J73:J82)</f>
        <v>110</v>
      </c>
      <c r="K84" s="17"/>
      <c r="L84" s="9"/>
      <c r="N84" s="15">
        <f>SUM(N73:N83)</f>
        <v>87628839</v>
      </c>
      <c r="O84" s="16">
        <f>SUM(O73:O83)</f>
        <v>133</v>
      </c>
      <c r="P84" s="17"/>
      <c r="Q84" s="44">
        <f>+C84-I84</f>
        <v>24933551</v>
      </c>
      <c r="R84" s="64">
        <f>+Q84/C84</f>
        <v>0.1926997104266448</v>
      </c>
      <c r="S84" s="44">
        <f>+C84-N84</f>
        <v>41761864</v>
      </c>
      <c r="T84" s="64">
        <f>+S84/C84</f>
        <v>0.3227578414192556</v>
      </c>
    </row>
    <row r="85" spans="1:20" ht="15" thickBot="1">
      <c r="A85" s="67"/>
      <c r="B85" s="66" t="s">
        <v>3</v>
      </c>
      <c r="C85" s="65">
        <f>+C84/(D84+E84)</f>
        <v>784186.0787878787</v>
      </c>
      <c r="D85" s="18">
        <f>+(D84+E84)/10</f>
        <v>16.5</v>
      </c>
      <c r="E85" s="19" t="s">
        <v>4</v>
      </c>
      <c r="F85" s="36"/>
      <c r="G85" s="67"/>
      <c r="H85" s="66" t="s">
        <v>3</v>
      </c>
      <c r="I85" s="65">
        <f>+I84/(J84+K84)</f>
        <v>949610.4727272728</v>
      </c>
      <c r="J85" s="18">
        <f>+(J84+K84)/10</f>
        <v>11</v>
      </c>
      <c r="K85" s="19"/>
      <c r="L85" s="67"/>
      <c r="M85" s="66" t="s">
        <v>3</v>
      </c>
      <c r="N85" s="65">
        <f>+N84/(O84+P84)</f>
        <v>658863.4511278196</v>
      </c>
      <c r="O85" s="18">
        <f>+(O84+P84)/10</f>
        <v>13.3</v>
      </c>
      <c r="P85" s="19" t="s">
        <v>4</v>
      </c>
      <c r="Q85" s="48"/>
      <c r="R85" s="48"/>
      <c r="S85" s="48"/>
      <c r="T85" s="48"/>
    </row>
    <row r="86" spans="17:20" ht="15" thickTop="1">
      <c r="Q86" s="60" t="s">
        <v>13</v>
      </c>
      <c r="R86" s="61"/>
      <c r="S86" s="60" t="s">
        <v>14</v>
      </c>
      <c r="T86" s="61"/>
    </row>
    <row r="87" spans="3:20" ht="27.75" customHeight="1">
      <c r="C87" s="74" t="s">
        <v>30</v>
      </c>
      <c r="Q87" s="62">
        <f>+C90-I90</f>
        <v>-80918.79743712721</v>
      </c>
      <c r="R87" s="141">
        <f>+Q87/C90</f>
        <v>-0.11361902488112845</v>
      </c>
      <c r="S87" s="62">
        <f>+C90-N90</f>
        <v>98020.83138264378</v>
      </c>
      <c r="T87" s="63">
        <f>+S87/C90</f>
        <v>0.13763218970705562</v>
      </c>
    </row>
    <row r="88" spans="3:20" ht="14.25">
      <c r="C88" s="89" t="s">
        <v>91</v>
      </c>
      <c r="E88" s="88" t="s">
        <v>31</v>
      </c>
      <c r="I88" s="89" t="s">
        <v>115</v>
      </c>
      <c r="K88" s="88" t="s">
        <v>31</v>
      </c>
      <c r="N88" s="89" t="s">
        <v>89</v>
      </c>
      <c r="P88" s="88"/>
      <c r="Q88" s="42" t="s">
        <v>24</v>
      </c>
      <c r="R88" s="43"/>
      <c r="S88" s="42" t="s">
        <v>25</v>
      </c>
      <c r="T88" s="43"/>
    </row>
    <row r="89" spans="3:20" ht="15">
      <c r="C89" s="15">
        <f>+C84+C70+C56+C42+C28+C15</f>
        <v>621745436</v>
      </c>
      <c r="D89" s="16">
        <f>+D84+D70+D56+D42+D28+D15</f>
        <v>868</v>
      </c>
      <c r="E89" s="17">
        <f>+E84+E70+E56+E42+E28+E15</f>
        <v>5</v>
      </c>
      <c r="I89" s="15">
        <f>+I84+I70+I56+I42+I28+I15</f>
        <v>619421161</v>
      </c>
      <c r="J89" s="16">
        <f>+J84+J70+J56+J42+J28+J15</f>
        <v>781</v>
      </c>
      <c r="K89" s="17">
        <f>+K84+K70+K56+K42+K28+K15</f>
        <v>0</v>
      </c>
      <c r="N89" s="15">
        <f>+N84+N70+N56+N42+N28+N15</f>
        <v>499322855</v>
      </c>
      <c r="O89" s="16">
        <f>+O84+O70+O56+O42+O28+O15</f>
        <v>810</v>
      </c>
      <c r="P89" s="17">
        <v>3</v>
      </c>
      <c r="Q89" s="44">
        <f>+C89-I89</f>
        <v>2324275</v>
      </c>
      <c r="R89" s="64">
        <f>+Q89/C89</f>
        <v>0.0037383064923696523</v>
      </c>
      <c r="S89" s="44">
        <f>+C89-N89</f>
        <v>122422581</v>
      </c>
      <c r="T89" s="64">
        <f>+S89/C89</f>
        <v>0.1969014550192854</v>
      </c>
    </row>
    <row r="90" spans="1:20" ht="15.75" thickBot="1">
      <c r="A90" s="67"/>
      <c r="B90" s="66" t="s">
        <v>3</v>
      </c>
      <c r="C90" s="65">
        <f>+C89/(D89+E89)</f>
        <v>712194.0847651776</v>
      </c>
      <c r="D90" s="18">
        <f>+(D89+E89)/60</f>
        <v>14.55</v>
      </c>
      <c r="E90" s="19" t="s">
        <v>4</v>
      </c>
      <c r="F90" s="36"/>
      <c r="G90" s="67"/>
      <c r="H90" s="66" t="s">
        <v>3</v>
      </c>
      <c r="I90" s="65">
        <f>+I89/(J89+K89)</f>
        <v>793112.8822023048</v>
      </c>
      <c r="J90" s="18">
        <f>+(J89+K89)/60</f>
        <v>13.016666666666667</v>
      </c>
      <c r="K90" s="19"/>
      <c r="L90" s="67"/>
      <c r="M90" s="66" t="s">
        <v>3</v>
      </c>
      <c r="N90" s="65">
        <f>+N89/(O89+P89)</f>
        <v>614173.2533825338</v>
      </c>
      <c r="O90" s="18">
        <f>+(O89+P89)/61</f>
        <v>13.327868852459016</v>
      </c>
      <c r="P90" s="19" t="s">
        <v>4</v>
      </c>
      <c r="Q90" s="75" t="s">
        <v>27</v>
      </c>
      <c r="R90" s="76">
        <f>+D89-J89</f>
        <v>87</v>
      </c>
      <c r="S90" s="75" t="s">
        <v>28</v>
      </c>
      <c r="T90" s="76">
        <f>+D89-O89</f>
        <v>58</v>
      </c>
    </row>
    <row r="91" spans="1:20" ht="25.5" thickBot="1" thickTop="1">
      <c r="A91" s="77" t="s">
        <v>29</v>
      </c>
      <c r="B91" s="78"/>
      <c r="C91" s="90">
        <f>+C89/$Q$91</f>
        <v>0.3572244780257364</v>
      </c>
      <c r="D91" s="79"/>
      <c r="E91" s="80"/>
      <c r="F91" s="81"/>
      <c r="G91" s="82"/>
      <c r="H91" s="78"/>
      <c r="I91" s="90">
        <f>+I89/$Q$91</f>
        <v>0.3558890634402994</v>
      </c>
      <c r="J91" s="79"/>
      <c r="K91" s="80"/>
      <c r="L91" s="82"/>
      <c r="M91" s="78"/>
      <c r="N91" s="90">
        <f>+N89/$Q$91</f>
        <v>0.28688645853396416</v>
      </c>
      <c r="O91" s="79"/>
      <c r="P91" s="80"/>
      <c r="Q91" s="83">
        <f>+N89+I89+C89</f>
        <v>1740489452</v>
      </c>
      <c r="R91" s="84" t="s">
        <v>37</v>
      </c>
      <c r="S91" s="85"/>
      <c r="T91" s="108">
        <f>+C91+I91+N91</f>
        <v>1</v>
      </c>
    </row>
    <row r="92" spans="1:14" ht="20.25" thickTop="1">
      <c r="A92" s="1" t="s">
        <v>0</v>
      </c>
      <c r="B92" s="2"/>
      <c r="C92" s="3" t="s">
        <v>32</v>
      </c>
      <c r="D92" s="4" t="s">
        <v>2</v>
      </c>
      <c r="E92" s="5"/>
      <c r="F92" s="23"/>
      <c r="G92" s="70" t="s">
        <v>7</v>
      </c>
      <c r="I92" s="4" t="s">
        <v>2</v>
      </c>
      <c r="J92" s="8"/>
      <c r="K92" s="5"/>
      <c r="L92" s="70" t="s">
        <v>8</v>
      </c>
      <c r="N92" s="4" t="s">
        <v>16</v>
      </c>
    </row>
    <row r="93" spans="1:15" ht="18">
      <c r="A93" s="27">
        <f>+C93/D93</f>
        <v>740891.2941176471</v>
      </c>
      <c r="B93" s="13">
        <v>43285</v>
      </c>
      <c r="C93" s="137">
        <v>12595152</v>
      </c>
      <c r="D93" s="8">
        <v>17</v>
      </c>
      <c r="E93" s="5"/>
      <c r="F93" s="21"/>
      <c r="G93" s="57">
        <f aca="true" t="shared" si="17" ref="G93:G102">+I93/J93</f>
        <v>995512.4615384615</v>
      </c>
      <c r="H93" s="13">
        <v>43283</v>
      </c>
      <c r="I93" s="58">
        <v>12941662</v>
      </c>
      <c r="J93" s="8">
        <v>13</v>
      </c>
      <c r="K93" s="5"/>
      <c r="L93" s="122">
        <f aca="true" t="shared" si="18" ref="L93:L103">+N93/O93</f>
        <v>544718.0714285715</v>
      </c>
      <c r="M93" s="24">
        <v>43282</v>
      </c>
      <c r="N93" s="115">
        <v>7626053</v>
      </c>
      <c r="O93" s="8">
        <v>14</v>
      </c>
    </row>
    <row r="94" spans="1:19" ht="18">
      <c r="A94" s="27">
        <f>+C94/D94</f>
        <v>747747.8125</v>
      </c>
      <c r="B94" s="11">
        <v>43287</v>
      </c>
      <c r="C94" s="87">
        <v>11963965</v>
      </c>
      <c r="D94" s="8">
        <v>16</v>
      </c>
      <c r="E94" s="144" t="s">
        <v>85</v>
      </c>
      <c r="F94" s="21"/>
      <c r="G94" s="73">
        <f t="shared" si="17"/>
        <v>1020653.5384615385</v>
      </c>
      <c r="H94" s="6">
        <v>43288</v>
      </c>
      <c r="I94" s="137">
        <v>13268496</v>
      </c>
      <c r="J94" s="8">
        <v>13</v>
      </c>
      <c r="K94" s="5"/>
      <c r="L94" s="114">
        <f t="shared" si="18"/>
        <v>662736.0769230769</v>
      </c>
      <c r="M94" s="13">
        <v>43284</v>
      </c>
      <c r="N94" s="40">
        <v>8615569</v>
      </c>
      <c r="O94" s="49">
        <v>13</v>
      </c>
      <c r="S94" s="30" t="s">
        <v>10</v>
      </c>
    </row>
    <row r="95" spans="1:19" ht="18">
      <c r="A95" s="57">
        <f>+C95/(D95+E95)</f>
        <v>825982.8</v>
      </c>
      <c r="B95" s="24">
        <v>43259</v>
      </c>
      <c r="C95" s="137">
        <v>12389742</v>
      </c>
      <c r="D95" s="38">
        <v>14</v>
      </c>
      <c r="E95" s="143">
        <v>1</v>
      </c>
      <c r="F95" s="21"/>
      <c r="G95" s="73">
        <f t="shared" si="17"/>
        <v>1242160</v>
      </c>
      <c r="H95" s="50">
        <v>43290</v>
      </c>
      <c r="I95" s="124">
        <v>21116720</v>
      </c>
      <c r="J95" s="8">
        <v>17</v>
      </c>
      <c r="K95" s="55"/>
      <c r="L95" s="27">
        <f t="shared" si="18"/>
        <v>797391.6923076923</v>
      </c>
      <c r="M95" s="13">
        <v>43286</v>
      </c>
      <c r="N95" s="39">
        <v>10366092</v>
      </c>
      <c r="O95" s="49">
        <v>13</v>
      </c>
      <c r="S95" s="31" t="s">
        <v>9</v>
      </c>
    </row>
    <row r="96" spans="1:19" ht="18">
      <c r="A96" s="27">
        <f aca="true" t="shared" si="19" ref="A96:A102">+C96/D96</f>
        <v>748094.7647058824</v>
      </c>
      <c r="B96" s="13">
        <v>43292</v>
      </c>
      <c r="C96" s="137">
        <v>12717611</v>
      </c>
      <c r="D96" s="8">
        <v>17</v>
      </c>
      <c r="E96" s="26"/>
      <c r="F96" s="21"/>
      <c r="G96" s="73">
        <f t="shared" si="17"/>
        <v>1074310.8</v>
      </c>
      <c r="H96" s="11">
        <v>43294</v>
      </c>
      <c r="I96" s="39">
        <v>10743108</v>
      </c>
      <c r="J96" s="8">
        <v>10</v>
      </c>
      <c r="K96" s="26"/>
      <c r="L96" s="114">
        <f t="shared" si="18"/>
        <v>650547.5384615385</v>
      </c>
      <c r="M96" s="13">
        <v>43291</v>
      </c>
      <c r="N96" s="40">
        <v>8457118</v>
      </c>
      <c r="O96" s="49">
        <v>13</v>
      </c>
      <c r="S96" s="32" t="s">
        <v>12</v>
      </c>
    </row>
    <row r="97" spans="1:19" ht="18">
      <c r="A97" s="73">
        <f t="shared" si="19"/>
        <v>1021354.75</v>
      </c>
      <c r="B97" s="6">
        <v>43295</v>
      </c>
      <c r="C97" s="140">
        <v>16341676</v>
      </c>
      <c r="D97" s="8">
        <v>16</v>
      </c>
      <c r="F97" s="23"/>
      <c r="G97" s="57">
        <f t="shared" si="17"/>
        <v>878617.4545454546</v>
      </c>
      <c r="H97" s="24">
        <v>43296</v>
      </c>
      <c r="I97" s="7">
        <v>9664792</v>
      </c>
      <c r="J97" s="8">
        <v>11</v>
      </c>
      <c r="L97" s="27">
        <f t="shared" si="18"/>
        <v>773598.7692307692</v>
      </c>
      <c r="M97" s="13">
        <v>43293</v>
      </c>
      <c r="N97" s="39">
        <v>10056784</v>
      </c>
      <c r="O97" s="49">
        <v>13</v>
      </c>
      <c r="S97" s="59" t="s">
        <v>11</v>
      </c>
    </row>
    <row r="98" spans="1:19" ht="18">
      <c r="A98" s="27">
        <f t="shared" si="19"/>
        <v>761041.8125</v>
      </c>
      <c r="B98" s="13">
        <v>43299</v>
      </c>
      <c r="C98" s="137">
        <v>12176669</v>
      </c>
      <c r="D98" s="8">
        <v>16</v>
      </c>
      <c r="F98" s="23"/>
      <c r="G98" s="57">
        <f t="shared" si="17"/>
        <v>931860.0833333334</v>
      </c>
      <c r="H98" s="13">
        <v>43297</v>
      </c>
      <c r="I98" s="39">
        <v>11182321</v>
      </c>
      <c r="J98" s="8">
        <v>12</v>
      </c>
      <c r="L98" s="27">
        <f t="shared" si="18"/>
        <v>762235.8461538461</v>
      </c>
      <c r="M98" s="13">
        <v>43298</v>
      </c>
      <c r="N98" s="7">
        <v>9909066</v>
      </c>
      <c r="O98" s="49">
        <v>13</v>
      </c>
      <c r="S98" s="53" t="s">
        <v>21</v>
      </c>
    </row>
    <row r="99" spans="1:15" ht="18">
      <c r="A99" s="27">
        <f t="shared" si="19"/>
        <v>768884.625</v>
      </c>
      <c r="B99" s="11">
        <v>43301</v>
      </c>
      <c r="C99" s="137">
        <v>12302154</v>
      </c>
      <c r="D99" s="8">
        <v>16</v>
      </c>
      <c r="E99" s="26"/>
      <c r="F99" s="23"/>
      <c r="G99" s="73">
        <f t="shared" si="17"/>
        <v>1063104.6363636365</v>
      </c>
      <c r="H99" s="6">
        <v>43302</v>
      </c>
      <c r="I99" s="87">
        <v>11694151</v>
      </c>
      <c r="J99" s="8">
        <v>11</v>
      </c>
      <c r="L99" s="27">
        <f t="shared" si="18"/>
        <v>721360</v>
      </c>
      <c r="M99" s="13">
        <v>43300</v>
      </c>
      <c r="N99" s="7">
        <v>9377680</v>
      </c>
      <c r="O99" s="49">
        <v>13</v>
      </c>
    </row>
    <row r="100" spans="1:16" ht="18">
      <c r="A100" s="27">
        <f t="shared" si="19"/>
        <v>776080.875</v>
      </c>
      <c r="B100" s="24">
        <v>43303</v>
      </c>
      <c r="C100" s="137">
        <v>12417294</v>
      </c>
      <c r="D100" s="8">
        <v>16</v>
      </c>
      <c r="E100" s="26"/>
      <c r="F100" s="23"/>
      <c r="G100" s="57">
        <f t="shared" si="17"/>
        <v>924834.7272727273</v>
      </c>
      <c r="H100" s="13">
        <v>43304</v>
      </c>
      <c r="I100" s="87">
        <v>10173182</v>
      </c>
      <c r="J100" s="8">
        <v>11</v>
      </c>
      <c r="K100" s="86"/>
      <c r="L100" s="27">
        <f t="shared" si="18"/>
        <v>707090.6153846154</v>
      </c>
      <c r="M100" s="13">
        <v>43305</v>
      </c>
      <c r="N100" s="7">
        <v>9192178</v>
      </c>
      <c r="O100" s="8">
        <v>13</v>
      </c>
      <c r="P100" s="91"/>
    </row>
    <row r="101" spans="1:20" ht="18">
      <c r="A101" s="27">
        <f t="shared" si="19"/>
        <v>739593.25</v>
      </c>
      <c r="B101" s="13">
        <v>43306</v>
      </c>
      <c r="C101" s="87">
        <v>11833492</v>
      </c>
      <c r="D101" s="8">
        <v>16</v>
      </c>
      <c r="E101" s="26"/>
      <c r="F101" s="23"/>
      <c r="G101" s="73">
        <f t="shared" si="17"/>
        <v>1054777.9</v>
      </c>
      <c r="H101" s="11">
        <v>43308</v>
      </c>
      <c r="I101" s="39">
        <v>10547779</v>
      </c>
      <c r="J101" s="8">
        <v>10</v>
      </c>
      <c r="L101" s="27">
        <f t="shared" si="18"/>
        <v>707413.4615384615</v>
      </c>
      <c r="M101" s="13">
        <v>43307</v>
      </c>
      <c r="N101" s="7">
        <v>9196375</v>
      </c>
      <c r="O101" s="8">
        <v>13</v>
      </c>
      <c r="P101" s="144" t="s">
        <v>87</v>
      </c>
      <c r="Q101" s="60" t="s">
        <v>13</v>
      </c>
      <c r="R101" s="61"/>
      <c r="S101" s="60" t="s">
        <v>14</v>
      </c>
      <c r="T101" s="61"/>
    </row>
    <row r="102" spans="1:20" ht="18">
      <c r="A102" s="73">
        <f t="shared" si="19"/>
        <v>1021369.8823529412</v>
      </c>
      <c r="B102" s="6">
        <v>43309</v>
      </c>
      <c r="C102" s="140">
        <v>17363288</v>
      </c>
      <c r="D102" s="8">
        <v>17</v>
      </c>
      <c r="E102" s="26"/>
      <c r="F102" s="23"/>
      <c r="G102" s="57">
        <f t="shared" si="17"/>
        <v>839673.6666666666</v>
      </c>
      <c r="H102" s="13">
        <v>43311</v>
      </c>
      <c r="I102" s="115">
        <v>7557063</v>
      </c>
      <c r="J102" s="8">
        <v>9</v>
      </c>
      <c r="K102" s="55"/>
      <c r="L102" s="122">
        <f>+N102/(O102+P102)</f>
        <v>545246.7142857143</v>
      </c>
      <c r="M102" s="24">
        <v>43310</v>
      </c>
      <c r="N102" s="115">
        <v>7633454</v>
      </c>
      <c r="O102" s="38">
        <v>12</v>
      </c>
      <c r="P102" s="143">
        <v>2</v>
      </c>
      <c r="Q102" s="62">
        <f>+C105-I105</f>
        <v>-200709.10398860392</v>
      </c>
      <c r="R102" s="141">
        <f>+Q102/C105</f>
        <v>-0.24613639762218859</v>
      </c>
      <c r="S102" s="62">
        <f>+C105-N105</f>
        <v>120156.9508301405</v>
      </c>
      <c r="T102" s="63">
        <f>+S102/C105</f>
        <v>0.14735255371513425</v>
      </c>
    </row>
    <row r="103" spans="1:20" ht="18">
      <c r="A103" s="100"/>
      <c r="B103" s="22"/>
      <c r="C103" s="101"/>
      <c r="D103" s="102"/>
      <c r="E103" s="103"/>
      <c r="F103" s="23"/>
      <c r="G103" s="100"/>
      <c r="H103" s="22"/>
      <c r="I103" s="101"/>
      <c r="J103" s="102"/>
      <c r="K103" s="103"/>
      <c r="L103" s="27">
        <f t="shared" si="18"/>
        <v>798881.6153846154</v>
      </c>
      <c r="M103" s="13">
        <v>43312</v>
      </c>
      <c r="N103" s="39">
        <v>10385461</v>
      </c>
      <c r="O103" s="8">
        <v>13</v>
      </c>
      <c r="Q103" s="42" t="s">
        <v>24</v>
      </c>
      <c r="R103" s="43"/>
      <c r="S103" s="42" t="s">
        <v>25</v>
      </c>
      <c r="T103" s="43"/>
    </row>
    <row r="104" spans="1:20" ht="15">
      <c r="A104" s="34"/>
      <c r="B104" s="2"/>
      <c r="C104" s="15">
        <f>SUM(C93:C103)</f>
        <v>132101043</v>
      </c>
      <c r="D104" s="16">
        <f>SUM(D93:D103)</f>
        <v>161</v>
      </c>
      <c r="E104" s="17">
        <v>1</v>
      </c>
      <c r="F104" s="21"/>
      <c r="G104" s="9"/>
      <c r="H104" s="13"/>
      <c r="I104" s="15">
        <f>SUM(I93:I103)</f>
        <v>118889274</v>
      </c>
      <c r="J104" s="16">
        <f>SUM(J93:J103)</f>
        <v>117</v>
      </c>
      <c r="K104" s="17"/>
      <c r="L104" s="9"/>
      <c r="N104" s="15">
        <f>SUM(N93:N103)</f>
        <v>100815830</v>
      </c>
      <c r="O104" s="16">
        <f>SUM(O93:O103)</f>
        <v>143</v>
      </c>
      <c r="P104" s="17">
        <v>2</v>
      </c>
      <c r="Q104" s="44">
        <f>+C104-I104</f>
        <v>13211769</v>
      </c>
      <c r="R104" s="64">
        <f>+Q104/C104</f>
        <v>0.10001260171730816</v>
      </c>
      <c r="S104" s="44">
        <f>+C104-N104</f>
        <v>31285213</v>
      </c>
      <c r="T104" s="64">
        <f>+S104/C104</f>
        <v>0.2368279030166325</v>
      </c>
    </row>
    <row r="105" spans="1:20" ht="15" thickBot="1">
      <c r="A105" s="67"/>
      <c r="B105" s="66" t="s">
        <v>3</v>
      </c>
      <c r="C105" s="65">
        <f>+C104/(D104+E104)</f>
        <v>815438.5370370371</v>
      </c>
      <c r="D105" s="18">
        <f>+(D104+E104)/11</f>
        <v>14.727272727272727</v>
      </c>
      <c r="E105" s="19" t="s">
        <v>4</v>
      </c>
      <c r="F105" s="36"/>
      <c r="G105" s="67"/>
      <c r="H105" s="66" t="s">
        <v>3</v>
      </c>
      <c r="I105" s="65">
        <f>+I104/(J104+K104)</f>
        <v>1016147.641025641</v>
      </c>
      <c r="J105" s="18">
        <f>+(J104+K104)/10</f>
        <v>11.7</v>
      </c>
      <c r="K105" s="19"/>
      <c r="L105" s="67"/>
      <c r="M105" s="66" t="s">
        <v>3</v>
      </c>
      <c r="N105" s="65">
        <f>+N104/(O104+P104)</f>
        <v>695281.5862068966</v>
      </c>
      <c r="O105" s="18">
        <f>+(O104+P104)/6</f>
        <v>24.166666666666668</v>
      </c>
      <c r="P105" s="19" t="s">
        <v>4</v>
      </c>
      <c r="Q105" s="48"/>
      <c r="R105" s="48"/>
      <c r="S105" s="48"/>
      <c r="T105" s="48"/>
    </row>
    <row r="106" spans="1:20" ht="15" thickTop="1">
      <c r="A106" s="94"/>
      <c r="B106" s="95"/>
      <c r="C106" s="96"/>
      <c r="D106" s="97"/>
      <c r="E106" s="98"/>
      <c r="F106" s="93"/>
      <c r="G106" s="94"/>
      <c r="H106" s="95"/>
      <c r="I106" s="96"/>
      <c r="J106" s="97"/>
      <c r="K106" s="98"/>
      <c r="L106" s="94"/>
      <c r="M106" s="95"/>
      <c r="N106" s="96"/>
      <c r="O106" s="97"/>
      <c r="P106" s="98"/>
      <c r="Q106" s="99"/>
      <c r="R106" s="99"/>
      <c r="S106" s="99"/>
      <c r="T106" s="99"/>
    </row>
    <row r="107" spans="17:20" ht="14.25">
      <c r="Q107" s="60" t="s">
        <v>13</v>
      </c>
      <c r="R107" s="61"/>
      <c r="S107" s="60" t="s">
        <v>14</v>
      </c>
      <c r="T107" s="61"/>
    </row>
    <row r="108" spans="3:20" ht="30">
      <c r="C108" s="74" t="s">
        <v>33</v>
      </c>
      <c r="Q108" s="62">
        <f>+C111-I111</f>
        <v>-93817.89062436123</v>
      </c>
      <c r="R108" s="141">
        <f>+Q108/C111</f>
        <v>-0.12880807896724802</v>
      </c>
      <c r="S108" s="62">
        <f>+C111-N111</f>
        <v>101904.51918449264</v>
      </c>
      <c r="T108" s="63">
        <f>+S108/C111</f>
        <v>0.13991068512498803</v>
      </c>
    </row>
    <row r="109" spans="3:20" ht="14.25">
      <c r="C109" s="89" t="s">
        <v>92</v>
      </c>
      <c r="E109" s="88" t="s">
        <v>31</v>
      </c>
      <c r="I109" s="89" t="s">
        <v>116</v>
      </c>
      <c r="K109" s="88" t="s">
        <v>31</v>
      </c>
      <c r="N109" s="89" t="s">
        <v>90</v>
      </c>
      <c r="P109" s="88" t="s">
        <v>31</v>
      </c>
      <c r="Q109" s="42" t="s">
        <v>24</v>
      </c>
      <c r="R109" s="43"/>
      <c r="S109" s="42" t="s">
        <v>25</v>
      </c>
      <c r="T109" s="43"/>
    </row>
    <row r="110" spans="3:20" ht="15">
      <c r="C110" s="15">
        <f>+C104+C70+C56+C42+C28+C15+C84</f>
        <v>753846479</v>
      </c>
      <c r="D110" s="16">
        <f>+D104+D70+D56+D42+D28+D15+D84</f>
        <v>1029</v>
      </c>
      <c r="E110" s="92">
        <f>+E104+E70+E56+E42+E28+E15+E84</f>
        <v>6</v>
      </c>
      <c r="I110" s="15">
        <f>+I104+I70+I56+I42+I28+I15+I84</f>
        <v>738310435</v>
      </c>
      <c r="J110" s="16">
        <f>+J104+J70+J56+J42+J28+J15+J84</f>
        <v>898</v>
      </c>
      <c r="K110" s="92">
        <f>+K104+K70+K56+K42+K28+K15+K84</f>
        <v>0</v>
      </c>
      <c r="N110" s="15">
        <f>+N104+N70+N56+N42+N28+N15+N84</f>
        <v>600138685</v>
      </c>
      <c r="O110" s="16">
        <f>+O104+O70+O56+O42+O28+O15+O84</f>
        <v>953</v>
      </c>
      <c r="P110" s="92">
        <v>5</v>
      </c>
      <c r="Q110" s="44">
        <f>+C110-I110</f>
        <v>15536044</v>
      </c>
      <c r="R110" s="64">
        <f>+Q110/C110</f>
        <v>0.020609029069962665</v>
      </c>
      <c r="S110" s="44">
        <f>+C110-N110</f>
        <v>153707794</v>
      </c>
      <c r="T110" s="64">
        <f>+S110/C110</f>
        <v>0.20389800613501308</v>
      </c>
    </row>
    <row r="111" spans="1:20" ht="15.75" thickBot="1">
      <c r="A111" s="67"/>
      <c r="B111" s="66" t="s">
        <v>3</v>
      </c>
      <c r="C111" s="65">
        <f>+C110/(D110+E110)</f>
        <v>728354.0859903381</v>
      </c>
      <c r="D111" s="18">
        <f>+(D110+E110)/71</f>
        <v>14.577464788732394</v>
      </c>
      <c r="E111" s="19" t="s">
        <v>4</v>
      </c>
      <c r="F111" s="36"/>
      <c r="G111" s="67"/>
      <c r="H111" s="66" t="s">
        <v>3</v>
      </c>
      <c r="I111" s="65">
        <f>+I110/(J110+K110)</f>
        <v>822171.9766146993</v>
      </c>
      <c r="J111" s="18">
        <f>+(J110+K110)/70</f>
        <v>12.82857142857143</v>
      </c>
      <c r="K111" s="19"/>
      <c r="L111" s="67"/>
      <c r="M111" s="66" t="s">
        <v>3</v>
      </c>
      <c r="N111" s="65">
        <f>+N110/(O110+P110)</f>
        <v>626449.5668058455</v>
      </c>
      <c r="O111" s="18">
        <f>+(O110+P110)/70</f>
        <v>13.685714285714285</v>
      </c>
      <c r="P111" s="19" t="s">
        <v>4</v>
      </c>
      <c r="Q111" s="75" t="s">
        <v>27</v>
      </c>
      <c r="R111" s="76">
        <f>+D110-J110</f>
        <v>131</v>
      </c>
      <c r="S111" s="75" t="s">
        <v>28</v>
      </c>
      <c r="T111" s="76">
        <f>+D110-O110</f>
        <v>76</v>
      </c>
    </row>
    <row r="112" spans="1:20" ht="25.5" thickBot="1" thickTop="1">
      <c r="A112" s="77" t="s">
        <v>29</v>
      </c>
      <c r="B112" s="78"/>
      <c r="C112" s="90">
        <f>+C110/$Q$112</f>
        <v>0.36029635552466693</v>
      </c>
      <c r="D112" s="79"/>
      <c r="E112" s="80"/>
      <c r="F112" s="81"/>
      <c r="G112" s="82"/>
      <c r="H112" s="78"/>
      <c r="I112" s="90">
        <f>+I110/$Q$112</f>
        <v>0.3528709974598575</v>
      </c>
      <c r="J112" s="79"/>
      <c r="K112" s="80"/>
      <c r="L112" s="82"/>
      <c r="M112" s="78"/>
      <c r="N112" s="90">
        <f>+N110/$Q$112</f>
        <v>0.28683264701547556</v>
      </c>
      <c r="O112" s="79"/>
      <c r="P112" s="80"/>
      <c r="Q112" s="83">
        <f>+N110+I110+C110</f>
        <v>2092295599</v>
      </c>
      <c r="R112" s="84" t="s">
        <v>38</v>
      </c>
      <c r="S112" s="85"/>
      <c r="T112" s="108">
        <f>+C112+I112+N112</f>
        <v>1</v>
      </c>
    </row>
    <row r="113" spans="1:14" ht="20.25" thickTop="1">
      <c r="A113" s="1" t="s">
        <v>0</v>
      </c>
      <c r="B113" s="2"/>
      <c r="C113" s="3" t="s">
        <v>34</v>
      </c>
      <c r="D113" s="4" t="s">
        <v>80</v>
      </c>
      <c r="E113" s="5"/>
      <c r="F113" s="23"/>
      <c r="G113" s="70" t="s">
        <v>7</v>
      </c>
      <c r="I113" s="4" t="s">
        <v>2</v>
      </c>
      <c r="J113" s="8"/>
      <c r="K113" s="5"/>
      <c r="L113" s="70" t="s">
        <v>8</v>
      </c>
      <c r="N113" s="4" t="s">
        <v>2</v>
      </c>
    </row>
    <row r="114" spans="1:15" ht="18">
      <c r="A114" s="27">
        <f>+C114/D114</f>
        <v>785100.1875</v>
      </c>
      <c r="B114" s="13">
        <v>43313</v>
      </c>
      <c r="C114" s="137">
        <v>12561603</v>
      </c>
      <c r="D114" s="8">
        <v>16</v>
      </c>
      <c r="E114" s="5"/>
      <c r="F114" s="21"/>
      <c r="G114" s="73">
        <f aca="true" t="shared" si="20" ref="G114:G120">+I114/J114</f>
        <v>1481159.1666666667</v>
      </c>
      <c r="H114" s="6">
        <v>43316</v>
      </c>
      <c r="I114" s="140">
        <v>17773910</v>
      </c>
      <c r="J114" s="8">
        <v>12</v>
      </c>
      <c r="K114" s="5"/>
      <c r="L114" s="27">
        <f aca="true" t="shared" si="21" ref="L114:L120">+N114/O114</f>
        <v>743799.0769230769</v>
      </c>
      <c r="M114" s="13">
        <v>43314</v>
      </c>
      <c r="N114" s="7">
        <v>9669388</v>
      </c>
      <c r="O114" s="8">
        <v>13</v>
      </c>
    </row>
    <row r="115" spans="1:19" ht="18">
      <c r="A115" s="27">
        <f>+C115/D115</f>
        <v>768752.75</v>
      </c>
      <c r="B115" s="11">
        <v>43315</v>
      </c>
      <c r="C115" s="137">
        <v>12300044</v>
      </c>
      <c r="D115" s="8">
        <v>16</v>
      </c>
      <c r="E115" s="47"/>
      <c r="F115" s="21"/>
      <c r="G115" s="57">
        <f t="shared" si="20"/>
        <v>958115.9090909091</v>
      </c>
      <c r="H115" s="13">
        <v>43318</v>
      </c>
      <c r="I115" s="39">
        <v>10539275</v>
      </c>
      <c r="J115" s="8">
        <v>11</v>
      </c>
      <c r="K115" s="5"/>
      <c r="L115" s="57">
        <f t="shared" si="21"/>
        <v>828170.4615384615</v>
      </c>
      <c r="M115" s="13">
        <v>43319</v>
      </c>
      <c r="N115" s="39">
        <v>10766216</v>
      </c>
      <c r="O115" s="8">
        <v>13</v>
      </c>
      <c r="S115" s="30" t="s">
        <v>10</v>
      </c>
    </row>
    <row r="116" spans="1:19" ht="18">
      <c r="A116" s="57">
        <f aca="true" t="shared" si="22" ref="A116:A124">+C116/(D116+E116)</f>
        <v>907493.3846153846</v>
      </c>
      <c r="B116" s="24">
        <v>43317</v>
      </c>
      <c r="C116" s="87">
        <v>11797414</v>
      </c>
      <c r="D116" s="49">
        <v>13</v>
      </c>
      <c r="E116" s="47"/>
      <c r="F116" s="21"/>
      <c r="G116" s="57">
        <f t="shared" si="20"/>
        <v>858443.4</v>
      </c>
      <c r="H116" s="13">
        <v>43321</v>
      </c>
      <c r="I116" s="40">
        <v>8584434</v>
      </c>
      <c r="J116" s="8">
        <v>10</v>
      </c>
      <c r="K116" s="5" t="s">
        <v>88</v>
      </c>
      <c r="L116" s="27">
        <f t="shared" si="21"/>
        <v>732134.25</v>
      </c>
      <c r="M116" s="24">
        <v>43324</v>
      </c>
      <c r="N116" s="40">
        <v>8785611</v>
      </c>
      <c r="O116" s="8">
        <v>12</v>
      </c>
      <c r="S116" s="31" t="s">
        <v>9</v>
      </c>
    </row>
    <row r="117" spans="1:19" ht="18">
      <c r="A117" s="57">
        <f t="shared" si="22"/>
        <v>833592.7857142857</v>
      </c>
      <c r="B117" s="13">
        <v>43320</v>
      </c>
      <c r="C117" s="87">
        <v>11670299</v>
      </c>
      <c r="D117" s="8">
        <v>14</v>
      </c>
      <c r="E117" s="47"/>
      <c r="F117" s="21"/>
      <c r="G117" s="73">
        <f t="shared" si="20"/>
        <v>1073976.5384615385</v>
      </c>
      <c r="H117" s="6">
        <v>43323</v>
      </c>
      <c r="I117" s="137">
        <v>13961695</v>
      </c>
      <c r="J117" s="8">
        <v>13</v>
      </c>
      <c r="K117" s="5"/>
      <c r="L117" s="57">
        <f t="shared" si="21"/>
        <v>826435.8461538461</v>
      </c>
      <c r="M117" s="13">
        <v>43326</v>
      </c>
      <c r="N117" s="39">
        <v>10743666</v>
      </c>
      <c r="O117" s="8">
        <v>13</v>
      </c>
      <c r="S117" s="32" t="s">
        <v>12</v>
      </c>
    </row>
    <row r="118" spans="1:19" ht="18">
      <c r="A118" s="57">
        <f t="shared" si="22"/>
        <v>826313.25</v>
      </c>
      <c r="B118" s="11">
        <v>43322</v>
      </c>
      <c r="C118" s="137">
        <v>13221012</v>
      </c>
      <c r="D118" s="8">
        <v>16</v>
      </c>
      <c r="E118" s="47"/>
      <c r="F118" s="23"/>
      <c r="G118" s="57">
        <f t="shared" si="20"/>
        <v>925390</v>
      </c>
      <c r="H118" s="13">
        <v>43325</v>
      </c>
      <c r="I118" s="39">
        <v>10179290</v>
      </c>
      <c r="J118" s="8">
        <v>11</v>
      </c>
      <c r="L118" s="27">
        <f t="shared" si="21"/>
        <v>790361.1538461539</v>
      </c>
      <c r="M118" s="13">
        <v>43328</v>
      </c>
      <c r="N118" s="39">
        <v>10274695</v>
      </c>
      <c r="O118" s="49">
        <v>13</v>
      </c>
      <c r="S118" s="59" t="s">
        <v>11</v>
      </c>
    </row>
    <row r="119" spans="1:19" ht="18">
      <c r="A119" s="27">
        <f t="shared" si="22"/>
        <v>782078.625</v>
      </c>
      <c r="B119" s="13">
        <v>43327</v>
      </c>
      <c r="C119" s="137">
        <v>12513258</v>
      </c>
      <c r="D119" s="8">
        <v>16</v>
      </c>
      <c r="E119" s="47"/>
      <c r="F119" s="23"/>
      <c r="G119" s="57">
        <f t="shared" si="20"/>
        <v>852047.9090909091</v>
      </c>
      <c r="H119" s="11">
        <v>43329</v>
      </c>
      <c r="I119" s="7">
        <v>9372527</v>
      </c>
      <c r="J119" s="8">
        <v>11</v>
      </c>
      <c r="L119" s="27">
        <f t="shared" si="21"/>
        <v>705611.8461538461</v>
      </c>
      <c r="M119" s="13">
        <v>43333</v>
      </c>
      <c r="N119" s="7">
        <v>9172954</v>
      </c>
      <c r="O119" s="49">
        <v>13</v>
      </c>
      <c r="S119" s="53" t="s">
        <v>21</v>
      </c>
    </row>
    <row r="120" spans="1:16" ht="18">
      <c r="A120" s="57">
        <f t="shared" si="22"/>
        <v>905904.9411764706</v>
      </c>
      <c r="B120" s="6">
        <v>43330</v>
      </c>
      <c r="C120" s="140">
        <v>15400384</v>
      </c>
      <c r="D120" s="8">
        <v>17</v>
      </c>
      <c r="E120" s="26"/>
      <c r="F120" s="23"/>
      <c r="G120" s="27">
        <f t="shared" si="20"/>
        <v>735496.4545454546</v>
      </c>
      <c r="H120" s="24">
        <v>43331</v>
      </c>
      <c r="I120" s="40">
        <v>8090461</v>
      </c>
      <c r="J120" s="8">
        <v>11</v>
      </c>
      <c r="K120" s="144" t="s">
        <v>85</v>
      </c>
      <c r="L120" s="27">
        <f t="shared" si="21"/>
        <v>749360</v>
      </c>
      <c r="M120" s="13">
        <v>43335</v>
      </c>
      <c r="N120" s="7">
        <v>9741680</v>
      </c>
      <c r="O120" s="49">
        <v>13</v>
      </c>
      <c r="P120" s="56" t="s">
        <v>87</v>
      </c>
    </row>
    <row r="121" spans="1:16" ht="18">
      <c r="A121" s="27">
        <f t="shared" si="22"/>
        <v>773324</v>
      </c>
      <c r="B121" s="13">
        <v>43334</v>
      </c>
      <c r="C121" s="137">
        <v>12373184</v>
      </c>
      <c r="D121" s="8">
        <v>16</v>
      </c>
      <c r="E121" s="26"/>
      <c r="F121" s="23"/>
      <c r="G121" s="57">
        <f>+I121/(J121+K121)</f>
        <v>953298.0769230769</v>
      </c>
      <c r="H121" s="50">
        <v>43332</v>
      </c>
      <c r="I121" s="137">
        <v>12392875</v>
      </c>
      <c r="J121" s="38">
        <v>11</v>
      </c>
      <c r="K121" s="143">
        <v>2</v>
      </c>
      <c r="L121" s="121">
        <f>+N121/(O121+P121)</f>
        <v>575930.6428571428</v>
      </c>
      <c r="M121" s="24">
        <v>43338</v>
      </c>
      <c r="N121" s="40">
        <v>8063029</v>
      </c>
      <c r="O121" s="38">
        <v>12</v>
      </c>
      <c r="P121" s="51">
        <v>2</v>
      </c>
    </row>
    <row r="122" spans="1:20" ht="18">
      <c r="A122" s="57">
        <f t="shared" si="22"/>
        <v>969387.4375</v>
      </c>
      <c r="B122" s="6">
        <v>43337</v>
      </c>
      <c r="C122" s="140">
        <v>15510199</v>
      </c>
      <c r="D122" s="8">
        <v>16</v>
      </c>
      <c r="E122" s="26"/>
      <c r="F122" s="23"/>
      <c r="G122" s="57">
        <f>+I122/(J122+K122)</f>
        <v>860144.2727272727</v>
      </c>
      <c r="H122" s="11">
        <v>43336</v>
      </c>
      <c r="I122" s="7">
        <v>9461587</v>
      </c>
      <c r="J122" s="8">
        <v>11</v>
      </c>
      <c r="L122" s="27">
        <f>+N122/O122</f>
        <v>707727</v>
      </c>
      <c r="M122" s="13">
        <v>43340</v>
      </c>
      <c r="N122" s="7">
        <v>9200451</v>
      </c>
      <c r="O122" s="49">
        <v>13</v>
      </c>
      <c r="Q122" s="60" t="s">
        <v>13</v>
      </c>
      <c r="R122" s="61"/>
      <c r="S122" s="60" t="s">
        <v>14</v>
      </c>
      <c r="T122" s="61"/>
    </row>
    <row r="123" spans="1:20" ht="18">
      <c r="A123" s="114">
        <f t="shared" si="22"/>
        <v>671115.1875</v>
      </c>
      <c r="B123" s="13">
        <v>43341</v>
      </c>
      <c r="C123" s="87">
        <v>10737843</v>
      </c>
      <c r="D123" s="8">
        <v>16</v>
      </c>
      <c r="E123" s="26"/>
      <c r="F123" s="23"/>
      <c r="G123" s="57">
        <f>+I123/(J123+K123)</f>
        <v>886091.3636363636</v>
      </c>
      <c r="H123" s="13">
        <v>43339</v>
      </c>
      <c r="I123" s="7">
        <v>9747005</v>
      </c>
      <c r="J123" s="8">
        <v>11</v>
      </c>
      <c r="K123" s="55"/>
      <c r="L123" s="145">
        <f>+N123/O123</f>
        <v>664397.0769230769</v>
      </c>
      <c r="M123" s="13">
        <v>43342</v>
      </c>
      <c r="N123" s="40">
        <v>8637162</v>
      </c>
      <c r="O123" s="49">
        <v>13</v>
      </c>
      <c r="Q123" s="62">
        <f>+C126-I126</f>
        <v>-147006.0584626305</v>
      </c>
      <c r="R123" s="141">
        <f>+Q123/C126</f>
        <v>-0.17953617302919184</v>
      </c>
      <c r="S123" s="62">
        <f>+C126-N126</f>
        <v>87619.07932414406</v>
      </c>
      <c r="T123" s="63">
        <f>+S123/C126</f>
        <v>0.10700779512564675</v>
      </c>
    </row>
    <row r="124" spans="1:20" ht="18">
      <c r="A124" s="27">
        <f t="shared" si="22"/>
        <v>798172.5294117647</v>
      </c>
      <c r="B124" s="11">
        <v>43343</v>
      </c>
      <c r="C124" s="137">
        <v>13568933</v>
      </c>
      <c r="D124" s="8">
        <v>17</v>
      </c>
      <c r="E124" s="26"/>
      <c r="F124" s="23"/>
      <c r="G124" s="37"/>
      <c r="H124" s="23"/>
      <c r="I124" s="23"/>
      <c r="J124" s="23"/>
      <c r="K124" s="23"/>
      <c r="L124" s="37"/>
      <c r="M124" s="23"/>
      <c r="N124" s="23"/>
      <c r="O124" s="23"/>
      <c r="P124" s="23"/>
      <c r="Q124" s="42" t="s">
        <v>24</v>
      </c>
      <c r="R124" s="43"/>
      <c r="S124" s="42" t="s">
        <v>25</v>
      </c>
      <c r="T124" s="43"/>
    </row>
    <row r="125" spans="1:20" ht="15">
      <c r="A125" s="34"/>
      <c r="B125" s="2"/>
      <c r="C125" s="15">
        <f>SUM(C114:C124)</f>
        <v>141654173</v>
      </c>
      <c r="D125" s="16">
        <f>SUM(D114:D124)</f>
        <v>173</v>
      </c>
      <c r="E125" s="17"/>
      <c r="F125" s="21"/>
      <c r="G125" s="9"/>
      <c r="H125" s="13"/>
      <c r="I125" s="15">
        <f>SUM(I114:I123)</f>
        <v>110103059</v>
      </c>
      <c r="J125" s="16">
        <f>SUM(J114:J123)</f>
        <v>112</v>
      </c>
      <c r="K125" s="17">
        <v>2</v>
      </c>
      <c r="L125" s="9"/>
      <c r="N125" s="15">
        <f>SUM(N114:N124)</f>
        <v>95054852</v>
      </c>
      <c r="O125" s="16">
        <f>SUM(O114:O124)</f>
        <v>128</v>
      </c>
      <c r="P125" s="17">
        <v>2</v>
      </c>
      <c r="Q125" s="44">
        <f>+C125-I125</f>
        <v>31551114</v>
      </c>
      <c r="R125" s="64">
        <f>+Q125/C125</f>
        <v>0.2227333888709371</v>
      </c>
      <c r="S125" s="44">
        <f>+C125-N125</f>
        <v>46599321</v>
      </c>
      <c r="T125" s="64">
        <f>+S125/C125</f>
        <v>0.32896539518112183</v>
      </c>
    </row>
    <row r="126" spans="1:20" ht="15" thickBot="1">
      <c r="A126" s="67"/>
      <c r="B126" s="66" t="s">
        <v>3</v>
      </c>
      <c r="C126" s="65">
        <f>+C125/(D125+E125)</f>
        <v>818810.2485549133</v>
      </c>
      <c r="D126" s="18">
        <f>+(D125+E125)/9</f>
        <v>19.22222222222222</v>
      </c>
      <c r="E126" s="19" t="s">
        <v>4</v>
      </c>
      <c r="F126" s="36"/>
      <c r="G126" s="67"/>
      <c r="H126" s="66" t="s">
        <v>3</v>
      </c>
      <c r="I126" s="65">
        <f>+I125/(J125+K125)</f>
        <v>965816.3070175438</v>
      </c>
      <c r="J126" s="18">
        <f>+(J125+K125)/10</f>
        <v>11.4</v>
      </c>
      <c r="K126" s="19"/>
      <c r="L126" s="67"/>
      <c r="M126" s="66" t="s">
        <v>3</v>
      </c>
      <c r="N126" s="65">
        <f>+N125/(O125+P125)</f>
        <v>731191.1692307693</v>
      </c>
      <c r="O126" s="18">
        <f>+(O125+P125)/11</f>
        <v>11.818181818181818</v>
      </c>
      <c r="P126" s="19" t="s">
        <v>4</v>
      </c>
      <c r="Q126" s="48"/>
      <c r="R126" s="48"/>
      <c r="S126" s="48"/>
      <c r="T126" s="48"/>
    </row>
    <row r="127" spans="1:20" ht="11.25" customHeight="1" thickTop="1">
      <c r="A127" s="94"/>
      <c r="B127" s="95"/>
      <c r="C127" s="96"/>
      <c r="D127" s="97"/>
      <c r="E127" s="98"/>
      <c r="F127" s="93"/>
      <c r="G127" s="94"/>
      <c r="H127" s="95"/>
      <c r="I127" s="96"/>
      <c r="J127" s="97"/>
      <c r="K127" s="98"/>
      <c r="L127" s="94"/>
      <c r="M127" s="95"/>
      <c r="N127" s="96"/>
      <c r="O127" s="97"/>
      <c r="P127" s="98"/>
      <c r="Q127" s="99"/>
      <c r="R127" s="99"/>
      <c r="S127" s="99"/>
      <c r="T127" s="99"/>
    </row>
    <row r="128" spans="17:20" ht="14.25">
      <c r="Q128" s="60" t="s">
        <v>13</v>
      </c>
      <c r="R128" s="61"/>
      <c r="S128" s="60" t="s">
        <v>14</v>
      </c>
      <c r="T128" s="61"/>
    </row>
    <row r="129" spans="3:20" ht="30">
      <c r="C129" s="74" t="s">
        <v>35</v>
      </c>
      <c r="Q129" s="62">
        <f>+C132-I132</f>
        <v>-97044.76818574453</v>
      </c>
      <c r="R129" s="141">
        <f>+Q129/C132</f>
        <v>-0.1309101000725786</v>
      </c>
      <c r="S129" s="62">
        <f>+C132-N132</f>
        <v>102343.8387770257</v>
      </c>
      <c r="T129" s="63">
        <f>+S129/C132</f>
        <v>0.13805836653109108</v>
      </c>
    </row>
    <row r="130" spans="3:20" ht="14.25">
      <c r="C130" s="89" t="s">
        <v>100</v>
      </c>
      <c r="E130" s="88" t="s">
        <v>31</v>
      </c>
      <c r="I130" s="89" t="s">
        <v>117</v>
      </c>
      <c r="K130" s="88" t="s">
        <v>31</v>
      </c>
      <c r="N130" s="89" t="s">
        <v>110</v>
      </c>
      <c r="P130" s="88" t="s">
        <v>31</v>
      </c>
      <c r="Q130" s="42" t="s">
        <v>24</v>
      </c>
      <c r="R130" s="43"/>
      <c r="S130" s="42" t="s">
        <v>25</v>
      </c>
      <c r="T130" s="43"/>
    </row>
    <row r="131" spans="3:20" ht="15">
      <c r="C131" s="15">
        <f>+C125+C104+C84+C70+C56+C42+C28+C15</f>
        <v>895500652</v>
      </c>
      <c r="D131" s="16">
        <f>+D125+D104+D84+D70+D56+D42+D28+D15</f>
        <v>1202</v>
      </c>
      <c r="E131" s="17">
        <f>+E125+E104+E84+E70+E56+E42+E28+E15</f>
        <v>6</v>
      </c>
      <c r="I131" s="15">
        <f>+I125+I104+I84+I70+I56+I42+I28+I15</f>
        <v>848413494</v>
      </c>
      <c r="J131" s="16">
        <f>+J125+J104+J84+J70+J56+J42+J28+J15</f>
        <v>1010</v>
      </c>
      <c r="K131" s="17">
        <f>+K125+K104+K84+K70+K56+K42+K28+K15</f>
        <v>2</v>
      </c>
      <c r="N131" s="15">
        <f>+N125+N104+N84+N70+N56+N42+N28+N15</f>
        <v>695193537</v>
      </c>
      <c r="O131" s="16">
        <f>+O125+O104+O84+O70+O56+O42+O28+O15</f>
        <v>1081</v>
      </c>
      <c r="P131" s="17">
        <v>7</v>
      </c>
      <c r="Q131" s="44">
        <f>+C131-I131</f>
        <v>47087158</v>
      </c>
      <c r="R131" s="64">
        <f>+Q131/C131</f>
        <v>0.05258193603191257</v>
      </c>
      <c r="S131" s="44">
        <f>+C131-N131</f>
        <v>200307115</v>
      </c>
      <c r="T131" s="64">
        <f>+S131/C131</f>
        <v>0.22368170760416153</v>
      </c>
    </row>
    <row r="132" spans="1:20" ht="15.75" thickBot="1">
      <c r="A132" s="67"/>
      <c r="B132" s="66" t="s">
        <v>3</v>
      </c>
      <c r="C132" s="65">
        <f>+C131/(D131+E131)</f>
        <v>741308.4867549669</v>
      </c>
      <c r="D132" s="18">
        <f>+(D131+E131)/79</f>
        <v>15.291139240506329</v>
      </c>
      <c r="E132" s="19" t="s">
        <v>4</v>
      </c>
      <c r="F132" s="36"/>
      <c r="G132" s="67"/>
      <c r="H132" s="66" t="s">
        <v>3</v>
      </c>
      <c r="I132" s="65">
        <f>+I131/(J131+K131)</f>
        <v>838353.2549407114</v>
      </c>
      <c r="J132" s="18">
        <f>+(J131+K131)/78</f>
        <v>12.974358974358974</v>
      </c>
      <c r="K132" s="19"/>
      <c r="L132" s="67"/>
      <c r="M132" s="66" t="s">
        <v>3</v>
      </c>
      <c r="N132" s="65">
        <f>+N131/(O131+P131)</f>
        <v>638964.6479779412</v>
      </c>
      <c r="O132" s="18">
        <f>+(O131+P131)/84</f>
        <v>12.952380952380953</v>
      </c>
      <c r="P132" s="19" t="s">
        <v>4</v>
      </c>
      <c r="Q132" s="75" t="s">
        <v>27</v>
      </c>
      <c r="R132" s="76">
        <f>+D131-J131</f>
        <v>192</v>
      </c>
      <c r="S132" s="75" t="s">
        <v>28</v>
      </c>
      <c r="T132" s="76">
        <f>+D131-O131</f>
        <v>121</v>
      </c>
    </row>
    <row r="133" spans="1:20" ht="25.5" thickBot="1" thickTop="1">
      <c r="A133" s="77" t="s">
        <v>29</v>
      </c>
      <c r="B133" s="78"/>
      <c r="C133" s="90">
        <f>+C131/$Q133</f>
        <v>0.3671427293847772</v>
      </c>
      <c r="D133" s="79"/>
      <c r="E133" s="80"/>
      <c r="F133" s="81"/>
      <c r="G133" s="82"/>
      <c r="H133" s="78"/>
      <c r="I133" s="90">
        <f>+I131/$Q133</f>
        <v>0.3478376538736851</v>
      </c>
      <c r="J133" s="79"/>
      <c r="K133" s="80"/>
      <c r="L133" s="82"/>
      <c r="M133" s="78"/>
      <c r="N133" s="90">
        <f>+N131/$Q133</f>
        <v>0.2850196167415377</v>
      </c>
      <c r="O133" s="79"/>
      <c r="P133" s="80"/>
      <c r="Q133" s="83">
        <f>+N131+I131+C131</f>
        <v>2439107683</v>
      </c>
      <c r="R133" s="84" t="s">
        <v>39</v>
      </c>
      <c r="S133" s="85"/>
      <c r="T133" s="108">
        <f>+C133+I133+N133</f>
        <v>1</v>
      </c>
    </row>
    <row r="134" spans="1:14" ht="20.25" thickTop="1">
      <c r="A134" s="1" t="s">
        <v>0</v>
      </c>
      <c r="B134" s="2"/>
      <c r="C134" s="20" t="s">
        <v>86</v>
      </c>
      <c r="D134" s="4" t="s">
        <v>76</v>
      </c>
      <c r="E134" s="5"/>
      <c r="F134" s="23"/>
      <c r="G134" s="70" t="s">
        <v>7</v>
      </c>
      <c r="I134" s="4" t="s">
        <v>2</v>
      </c>
      <c r="J134" s="8"/>
      <c r="K134" s="5"/>
      <c r="L134" s="70" t="s">
        <v>8</v>
      </c>
      <c r="N134" s="4" t="s">
        <v>103</v>
      </c>
    </row>
    <row r="135" spans="1:15" ht="18">
      <c r="A135" s="27">
        <f aca="true" t="shared" si="23" ref="A135:A141">+C135/(D135+E135)</f>
        <v>739343.875</v>
      </c>
      <c r="B135" s="24">
        <v>43345</v>
      </c>
      <c r="C135" s="87">
        <v>11829502</v>
      </c>
      <c r="D135" s="8">
        <v>16</v>
      </c>
      <c r="F135" s="21"/>
      <c r="G135" s="73">
        <f aca="true" t="shared" si="24" ref="G135:G144">+I135/J135</f>
        <v>1609138.7333333334</v>
      </c>
      <c r="H135" s="6">
        <v>43344</v>
      </c>
      <c r="I135" s="124">
        <v>24137081</v>
      </c>
      <c r="J135" s="8">
        <v>15</v>
      </c>
      <c r="K135" s="5" t="s">
        <v>40</v>
      </c>
      <c r="L135" s="27">
        <f>+N135/O135</f>
        <v>781217.6153846154</v>
      </c>
      <c r="M135" s="13">
        <v>43347</v>
      </c>
      <c r="N135" s="39">
        <v>10155829</v>
      </c>
      <c r="O135" s="8">
        <v>13</v>
      </c>
    </row>
    <row r="136" spans="1:19" ht="18">
      <c r="A136" s="27">
        <f t="shared" si="23"/>
        <v>747744.3529411765</v>
      </c>
      <c r="B136" s="13">
        <v>43348</v>
      </c>
      <c r="C136" s="137">
        <v>12711654</v>
      </c>
      <c r="D136" s="49">
        <v>17</v>
      </c>
      <c r="F136" s="21"/>
      <c r="G136" s="57">
        <f t="shared" si="24"/>
        <v>917944.9090909091</v>
      </c>
      <c r="H136" s="13">
        <v>43346</v>
      </c>
      <c r="I136" s="39">
        <v>10097394</v>
      </c>
      <c r="J136" s="8">
        <v>11</v>
      </c>
      <c r="K136" s="5"/>
      <c r="L136" s="57">
        <f>+N136/O136</f>
        <v>809768.1538461539</v>
      </c>
      <c r="M136" s="13">
        <v>43349</v>
      </c>
      <c r="N136" s="39">
        <v>10526986</v>
      </c>
      <c r="O136" s="49">
        <v>13</v>
      </c>
      <c r="P136" s="56" t="s">
        <v>93</v>
      </c>
      <c r="S136" s="30" t="s">
        <v>10</v>
      </c>
    </row>
    <row r="137" spans="1:19" ht="18">
      <c r="A137" s="57">
        <f t="shared" si="23"/>
        <v>990126.6470588235</v>
      </c>
      <c r="B137" s="6">
        <v>43351</v>
      </c>
      <c r="C137" s="140">
        <v>16832153</v>
      </c>
      <c r="D137" s="49">
        <v>17</v>
      </c>
      <c r="F137" s="21"/>
      <c r="G137" s="27">
        <f t="shared" si="24"/>
        <v>776628</v>
      </c>
      <c r="H137" s="11">
        <v>43350</v>
      </c>
      <c r="I137" s="39">
        <v>10096164</v>
      </c>
      <c r="J137" s="8">
        <v>13</v>
      </c>
      <c r="K137" s="5"/>
      <c r="L137" s="117">
        <f>+N137/(O137+P137)</f>
        <v>638583.7142857143</v>
      </c>
      <c r="M137" s="24">
        <v>43352</v>
      </c>
      <c r="N137" s="40">
        <v>8940172</v>
      </c>
      <c r="O137" s="38">
        <v>12</v>
      </c>
      <c r="P137" s="51">
        <v>2</v>
      </c>
      <c r="S137" s="31" t="s">
        <v>9</v>
      </c>
    </row>
    <row r="138" spans="1:19" ht="18">
      <c r="A138" s="27">
        <f t="shared" si="23"/>
        <v>757964.5882352941</v>
      </c>
      <c r="B138" s="13">
        <v>43355</v>
      </c>
      <c r="C138" s="137">
        <v>12885398</v>
      </c>
      <c r="D138" s="8">
        <v>17</v>
      </c>
      <c r="F138" s="21"/>
      <c r="G138" s="57">
        <f t="shared" si="24"/>
        <v>823092.4285714285</v>
      </c>
      <c r="H138" s="13">
        <v>43353</v>
      </c>
      <c r="I138" s="39">
        <v>11523294</v>
      </c>
      <c r="J138" s="8">
        <v>14</v>
      </c>
      <c r="K138" s="5"/>
      <c r="L138" s="57">
        <f>+N138/O138</f>
        <v>806770.9230769231</v>
      </c>
      <c r="M138" s="13">
        <v>43354</v>
      </c>
      <c r="N138" s="39">
        <v>10488022</v>
      </c>
      <c r="O138" s="8">
        <v>13</v>
      </c>
      <c r="S138" s="32" t="s">
        <v>12</v>
      </c>
    </row>
    <row r="139" spans="1:19" ht="18">
      <c r="A139" s="73">
        <f t="shared" si="23"/>
        <v>1032433.5882352941</v>
      </c>
      <c r="B139" s="6">
        <v>43358</v>
      </c>
      <c r="C139" s="140">
        <v>17551371</v>
      </c>
      <c r="D139" s="8">
        <v>17</v>
      </c>
      <c r="F139" s="23"/>
      <c r="G139" s="57">
        <f t="shared" si="24"/>
        <v>926644.1818181818</v>
      </c>
      <c r="H139" s="11">
        <v>43357</v>
      </c>
      <c r="I139" s="39">
        <v>10193086</v>
      </c>
      <c r="J139" s="8">
        <v>11</v>
      </c>
      <c r="L139" s="27">
        <f>+N139/O139</f>
        <v>773669.0769230769</v>
      </c>
      <c r="M139" s="13">
        <v>43356</v>
      </c>
      <c r="N139" s="39">
        <v>10057698</v>
      </c>
      <c r="O139" s="49">
        <v>13</v>
      </c>
      <c r="S139" s="59" t="s">
        <v>11</v>
      </c>
    </row>
    <row r="140" spans="1:19" ht="18">
      <c r="A140" s="27">
        <f t="shared" si="23"/>
        <v>708701.2352941176</v>
      </c>
      <c r="B140" s="13">
        <v>43362</v>
      </c>
      <c r="C140" s="137">
        <v>12047921</v>
      </c>
      <c r="D140" s="8">
        <v>17</v>
      </c>
      <c r="F140" s="23"/>
      <c r="G140" s="27">
        <f t="shared" si="24"/>
        <v>790850.0769230769</v>
      </c>
      <c r="H140" s="24">
        <v>43359</v>
      </c>
      <c r="I140" s="39">
        <v>10281051</v>
      </c>
      <c r="J140" s="8">
        <v>13</v>
      </c>
      <c r="L140" s="27">
        <f>+N140/O140</f>
        <v>796285.2307692308</v>
      </c>
      <c r="M140" s="13">
        <v>43361</v>
      </c>
      <c r="N140" s="39">
        <v>10351708</v>
      </c>
      <c r="O140" s="49">
        <v>13</v>
      </c>
      <c r="S140" s="53" t="s">
        <v>21</v>
      </c>
    </row>
    <row r="141" spans="1:15" ht="18">
      <c r="A141" s="27">
        <f t="shared" si="23"/>
        <v>792746.0588235294</v>
      </c>
      <c r="B141" s="11">
        <v>43364</v>
      </c>
      <c r="C141" s="137">
        <v>13476683</v>
      </c>
      <c r="D141" s="8">
        <v>17</v>
      </c>
      <c r="E141" s="26"/>
      <c r="F141" s="23"/>
      <c r="G141" s="57">
        <f t="shared" si="24"/>
        <v>906610.4</v>
      </c>
      <c r="H141" s="13">
        <v>43360</v>
      </c>
      <c r="I141" s="7">
        <v>9066104</v>
      </c>
      <c r="J141" s="8">
        <v>10</v>
      </c>
      <c r="L141" s="57">
        <f>+N141/O141</f>
        <v>802367.9230769231</v>
      </c>
      <c r="M141" s="13">
        <v>43363</v>
      </c>
      <c r="N141" s="39">
        <v>10430783</v>
      </c>
      <c r="O141" s="49">
        <v>13</v>
      </c>
    </row>
    <row r="142" spans="1:16" ht="18">
      <c r="A142" s="27">
        <f>+C142/(D142)</f>
        <v>748876.0714285715</v>
      </c>
      <c r="B142" s="24">
        <v>43366</v>
      </c>
      <c r="C142" s="87">
        <v>10484265</v>
      </c>
      <c r="D142" s="49">
        <v>14</v>
      </c>
      <c r="E142" s="158" t="s">
        <v>102</v>
      </c>
      <c r="F142" s="23"/>
      <c r="G142" s="57">
        <f t="shared" si="24"/>
        <v>918001.9090909091</v>
      </c>
      <c r="H142" s="6">
        <v>43365</v>
      </c>
      <c r="I142" s="39">
        <v>10098021</v>
      </c>
      <c r="J142" s="8">
        <v>11</v>
      </c>
      <c r="K142" s="86"/>
      <c r="L142" s="157"/>
      <c r="M142" s="13">
        <v>43368</v>
      </c>
      <c r="N142" s="128" t="s">
        <v>101</v>
      </c>
      <c r="O142" s="102"/>
      <c r="P142" s="107"/>
    </row>
    <row r="143" spans="1:20" ht="18">
      <c r="A143" s="27">
        <f>+C143/(D143)</f>
        <v>759976.1176470588</v>
      </c>
      <c r="B143" s="13">
        <v>43369</v>
      </c>
      <c r="C143" s="137">
        <v>12919594</v>
      </c>
      <c r="D143" s="8">
        <v>17</v>
      </c>
      <c r="F143" s="23"/>
      <c r="G143" s="57">
        <f t="shared" si="24"/>
        <v>874195.1</v>
      </c>
      <c r="H143" s="13">
        <v>43367</v>
      </c>
      <c r="I143" s="40">
        <v>8741951</v>
      </c>
      <c r="J143" s="8">
        <v>10</v>
      </c>
      <c r="L143" s="27">
        <f>+N143/O143</f>
        <v>766574.9285714285</v>
      </c>
      <c r="M143" s="13">
        <v>43370</v>
      </c>
      <c r="N143" s="39">
        <v>10732049</v>
      </c>
      <c r="O143" s="8">
        <v>14</v>
      </c>
      <c r="P143" s="91"/>
      <c r="Q143" s="60" t="s">
        <v>13</v>
      </c>
      <c r="R143" s="61"/>
      <c r="S143" s="60" t="s">
        <v>14</v>
      </c>
      <c r="T143" s="61"/>
    </row>
    <row r="144" spans="1:20" ht="18">
      <c r="A144" s="73">
        <f>+C144/(D144+E144)</f>
        <v>1036757.8823529412</v>
      </c>
      <c r="B144" s="6">
        <v>43372</v>
      </c>
      <c r="C144" s="140">
        <v>17624884</v>
      </c>
      <c r="D144" s="8">
        <v>17</v>
      </c>
      <c r="E144" s="26"/>
      <c r="F144" s="23"/>
      <c r="G144" s="57">
        <f t="shared" si="24"/>
        <v>931746.8333333334</v>
      </c>
      <c r="H144" s="11">
        <v>43371</v>
      </c>
      <c r="I144" s="39">
        <v>11180962</v>
      </c>
      <c r="J144" s="8">
        <v>12</v>
      </c>
      <c r="K144" s="55"/>
      <c r="L144" s="120">
        <f>+N144/O144</f>
        <v>588754.4285714285</v>
      </c>
      <c r="M144" s="24">
        <v>43373</v>
      </c>
      <c r="N144" s="40">
        <v>8242562</v>
      </c>
      <c r="O144" s="49">
        <v>14</v>
      </c>
      <c r="P144" s="91"/>
      <c r="Q144" s="62">
        <f>+C147-I147</f>
        <v>-128277.95823293168</v>
      </c>
      <c r="R144" s="141">
        <f>+Q144/C147</f>
        <v>-0.1539000719783184</v>
      </c>
      <c r="S144" s="62">
        <f>+C147-N147</f>
        <v>84132.86676706828</v>
      </c>
      <c r="T144" s="63">
        <f>+S144/C147</f>
        <v>0.10093748317760516</v>
      </c>
    </row>
    <row r="145" spans="1:20" ht="18">
      <c r="A145" s="100"/>
      <c r="B145" s="22"/>
      <c r="C145" s="101"/>
      <c r="D145" s="102"/>
      <c r="E145" s="103"/>
      <c r="F145" s="23"/>
      <c r="G145" s="37"/>
      <c r="H145" s="23"/>
      <c r="I145" s="23"/>
      <c r="J145" s="23"/>
      <c r="K145" s="23"/>
      <c r="L145" s="104"/>
      <c r="M145" s="22"/>
      <c r="N145" s="105"/>
      <c r="O145" s="106"/>
      <c r="P145" s="107"/>
      <c r="Q145" s="42" t="s">
        <v>24</v>
      </c>
      <c r="R145" s="43"/>
      <c r="S145" s="42" t="s">
        <v>25</v>
      </c>
      <c r="T145" s="43"/>
    </row>
    <row r="146" spans="1:20" ht="15">
      <c r="A146" s="34"/>
      <c r="B146" s="2"/>
      <c r="C146" s="15">
        <f>SUM(C135:C145)</f>
        <v>138363425</v>
      </c>
      <c r="D146" s="16">
        <f>SUM(D135:D145)</f>
        <v>166</v>
      </c>
      <c r="E146" s="17"/>
      <c r="F146" s="21"/>
      <c r="G146" s="9"/>
      <c r="H146" s="13"/>
      <c r="I146" s="15">
        <f>SUM(I135:I145)</f>
        <v>115415108</v>
      </c>
      <c r="J146" s="16">
        <f>SUM(J135:J145)</f>
        <v>120</v>
      </c>
      <c r="K146" s="17"/>
      <c r="L146" s="9"/>
      <c r="N146" s="15">
        <f>SUM(N135:N145)</f>
        <v>89925809</v>
      </c>
      <c r="O146" s="16">
        <f>SUM(O135:O145)</f>
        <v>118</v>
      </c>
      <c r="P146" s="17">
        <v>2</v>
      </c>
      <c r="Q146" s="44">
        <f>+C146-I146</f>
        <v>22948317</v>
      </c>
      <c r="R146" s="64">
        <f>+Q146/C146</f>
        <v>0.16585536965422762</v>
      </c>
      <c r="S146" s="44">
        <f>+C146-N146</f>
        <v>48437616</v>
      </c>
      <c r="T146" s="64">
        <f>+S146/C146</f>
        <v>0.35007528904405194</v>
      </c>
    </row>
    <row r="147" spans="1:20" ht="15" thickBot="1">
      <c r="A147" s="67"/>
      <c r="B147" s="66" t="s">
        <v>3</v>
      </c>
      <c r="C147" s="65">
        <f>+C146/(D146+E146)</f>
        <v>833514.608433735</v>
      </c>
      <c r="D147" s="18">
        <f>+(D146+E146)/10</f>
        <v>16.6</v>
      </c>
      <c r="E147" s="19" t="s">
        <v>4</v>
      </c>
      <c r="F147" s="36"/>
      <c r="G147" s="67"/>
      <c r="H147" s="66" t="s">
        <v>3</v>
      </c>
      <c r="I147" s="65">
        <f>+I146/(J146+K146)</f>
        <v>961792.5666666667</v>
      </c>
      <c r="J147" s="18">
        <f>+(J146+K146)/10</f>
        <v>12</v>
      </c>
      <c r="K147" s="19"/>
      <c r="L147" s="67"/>
      <c r="M147" s="66" t="s">
        <v>3</v>
      </c>
      <c r="N147" s="65">
        <f>+N146/(O146+P146)</f>
        <v>749381.7416666667</v>
      </c>
      <c r="O147" s="18">
        <f>+(O146+P146)/8</f>
        <v>15</v>
      </c>
      <c r="P147" s="19" t="s">
        <v>4</v>
      </c>
      <c r="Q147" s="48"/>
      <c r="R147" s="48"/>
      <c r="S147" s="48"/>
      <c r="T147" s="48"/>
    </row>
    <row r="148" spans="1:20" ht="15" thickTop="1">
      <c r="A148" s="94"/>
      <c r="B148" s="95"/>
      <c r="C148" s="96"/>
      <c r="D148" s="97"/>
      <c r="E148" s="98"/>
      <c r="F148" s="93"/>
      <c r="G148" s="94"/>
      <c r="H148" s="95"/>
      <c r="I148" s="96"/>
      <c r="J148" s="97"/>
      <c r="K148" s="98"/>
      <c r="L148" s="94"/>
      <c r="M148" s="95"/>
      <c r="N148" s="96"/>
      <c r="O148" s="97"/>
      <c r="P148" s="98"/>
      <c r="Q148" s="99"/>
      <c r="R148" s="99"/>
      <c r="S148" s="99"/>
      <c r="T148" s="99"/>
    </row>
    <row r="149" spans="1:20" ht="14.25">
      <c r="A149" s="160">
        <v>0.09</v>
      </c>
      <c r="B149" s="161">
        <f>+C152*A149</f>
        <v>93047766.92999999</v>
      </c>
      <c r="C149" s="162" t="s">
        <v>104</v>
      </c>
      <c r="G149" s="160">
        <v>0.09</v>
      </c>
      <c r="H149" s="161">
        <f>+I152*G149</f>
        <v>86744574.17999999</v>
      </c>
      <c r="I149" s="162" t="s">
        <v>104</v>
      </c>
      <c r="L149" s="160">
        <v>0.09</v>
      </c>
      <c r="M149" s="161">
        <f>+N152*L149</f>
        <v>70660741.14</v>
      </c>
      <c r="N149" s="162" t="s">
        <v>104</v>
      </c>
      <c r="Q149" s="60" t="s">
        <v>13</v>
      </c>
      <c r="R149" s="61"/>
      <c r="S149" s="60" t="s">
        <v>14</v>
      </c>
      <c r="T149" s="61"/>
    </row>
    <row r="150" spans="1:20" ht="30">
      <c r="A150" s="163">
        <f>+(B149-M149)/M149</f>
        <v>0.3168241010329147</v>
      </c>
      <c r="B150" s="162" t="s">
        <v>105</v>
      </c>
      <c r="C150" s="74" t="s">
        <v>36</v>
      </c>
      <c r="Q150" s="62">
        <f>+C153-I153</f>
        <v>-98990.31225021987</v>
      </c>
      <c r="R150" s="141">
        <f>+Q150/C153</f>
        <v>-0.13155761193142035</v>
      </c>
      <c r="S150" s="62">
        <f>+C153-N153</f>
        <v>102515.14865236124</v>
      </c>
      <c r="T150" s="63">
        <f>+S150/C153</f>
        <v>0.13624210124126823</v>
      </c>
    </row>
    <row r="151" spans="3:20" ht="14.25">
      <c r="C151" s="89" t="s">
        <v>112</v>
      </c>
      <c r="E151" s="88" t="s">
        <v>31</v>
      </c>
      <c r="I151" s="89" t="s">
        <v>118</v>
      </c>
      <c r="K151" s="88" t="s">
        <v>31</v>
      </c>
      <c r="N151" s="89" t="s">
        <v>140</v>
      </c>
      <c r="P151" s="88" t="s">
        <v>31</v>
      </c>
      <c r="Q151" s="42" t="s">
        <v>24</v>
      </c>
      <c r="R151" s="43"/>
      <c r="S151" s="42" t="s">
        <v>25</v>
      </c>
      <c r="T151" s="43"/>
    </row>
    <row r="152" spans="3:20" ht="15">
      <c r="C152" s="15">
        <f>+C15+C28+C42+C56+C70+C84+C104+C125+C146</f>
        <v>1033864077</v>
      </c>
      <c r="D152" s="16">
        <f>+D15+D28+D42+D56+D70+D84+D104+D125+D146</f>
        <v>1368</v>
      </c>
      <c r="E152" s="17">
        <f>+E15+E28+E42+E56+E70+E84+E104+E125+E146</f>
        <v>6</v>
      </c>
      <c r="I152" s="15">
        <f>+I15+I28+I42+I56+I70+I84+I104+I125+I146</f>
        <v>963828602</v>
      </c>
      <c r="J152" s="16">
        <f>+J15+J28+J42+J56+J70+J84+J104+J125+J146</f>
        <v>1130</v>
      </c>
      <c r="K152" s="17">
        <f>+K15+K28+K42+K56+K70+K84+K104+K125+K146</f>
        <v>2</v>
      </c>
      <c r="N152" s="15">
        <f>+N15+N28+N42+N56+N70+N84+N104+N125+N146</f>
        <v>785119346</v>
      </c>
      <c r="O152" s="16">
        <f>+O15+O28+O42+O56+O70+O84+O104+O125+O146</f>
        <v>1199</v>
      </c>
      <c r="P152" s="17">
        <v>9</v>
      </c>
      <c r="Q152" s="44">
        <f>+C152-I152</f>
        <v>70035475</v>
      </c>
      <c r="R152" s="64">
        <f>+Q152/C152</f>
        <v>0.06774147255722862</v>
      </c>
      <c r="S152" s="44">
        <f>+C152-N152</f>
        <v>248744731</v>
      </c>
      <c r="T152" s="64">
        <f>+S152/C152</f>
        <v>0.24059713122230864</v>
      </c>
    </row>
    <row r="153" spans="1:20" ht="15.75" thickBot="1">
      <c r="A153" s="67"/>
      <c r="B153" s="66" t="s">
        <v>3</v>
      </c>
      <c r="C153" s="65">
        <f>+C152/(D152+E152)</f>
        <v>752448.3820960699</v>
      </c>
      <c r="D153" s="18">
        <f>+(D152+E152)/71</f>
        <v>19.35211267605634</v>
      </c>
      <c r="E153" s="19" t="s">
        <v>4</v>
      </c>
      <c r="F153" s="36"/>
      <c r="G153" s="67"/>
      <c r="H153" s="66" t="s">
        <v>3</v>
      </c>
      <c r="I153" s="65">
        <f>+I152/(J152+K152)</f>
        <v>851438.6943462897</v>
      </c>
      <c r="J153" s="18">
        <f>+(J152+K152)/70</f>
        <v>16.17142857142857</v>
      </c>
      <c r="K153" s="19"/>
      <c r="L153" s="67"/>
      <c r="M153" s="66" t="s">
        <v>3</v>
      </c>
      <c r="N153" s="65">
        <f>+N152/(O152+P152)</f>
        <v>649933.2334437086</v>
      </c>
      <c r="O153" s="18">
        <f>+(O152+P152)/80</f>
        <v>15.1</v>
      </c>
      <c r="P153" s="19" t="s">
        <v>4</v>
      </c>
      <c r="Q153" s="75" t="s">
        <v>27</v>
      </c>
      <c r="R153" s="76">
        <f>+D152-J152</f>
        <v>238</v>
      </c>
      <c r="S153" s="75" t="s">
        <v>28</v>
      </c>
      <c r="T153" s="76">
        <f>+D152-O152</f>
        <v>169</v>
      </c>
    </row>
    <row r="154" spans="1:20" ht="25.5" thickBot="1" thickTop="1">
      <c r="A154" s="77" t="s">
        <v>29</v>
      </c>
      <c r="B154" s="78"/>
      <c r="C154" s="90">
        <f>+C152/$Q154</f>
        <v>0.3715177553180222</v>
      </c>
      <c r="D154" s="79"/>
      <c r="E154" s="80"/>
      <c r="F154" s="81"/>
      <c r="G154" s="82"/>
      <c r="H154" s="78"/>
      <c r="I154" s="90">
        <f>+I152/$Q154</f>
        <v>0.3463505954916233</v>
      </c>
      <c r="J154" s="79"/>
      <c r="K154" s="80"/>
      <c r="L154" s="82"/>
      <c r="M154" s="78"/>
      <c r="N154" s="90">
        <f>+N152/$Q154</f>
        <v>0.2821316491903545</v>
      </c>
      <c r="O154" s="79"/>
      <c r="P154" s="80"/>
      <c r="Q154" s="83">
        <f>+N152+I152+C152</f>
        <v>2782812025</v>
      </c>
      <c r="R154" s="84" t="s">
        <v>41</v>
      </c>
      <c r="S154" s="85"/>
      <c r="T154" s="108">
        <f>+C154+I154+N154</f>
        <v>1</v>
      </c>
    </row>
    <row r="155" spans="1:14" ht="20.25" thickTop="1">
      <c r="A155" s="1" t="s">
        <v>0</v>
      </c>
      <c r="B155" s="2"/>
      <c r="C155" s="20" t="s">
        <v>42</v>
      </c>
      <c r="D155" s="4" t="s">
        <v>2</v>
      </c>
      <c r="E155" s="5"/>
      <c r="F155" s="23"/>
      <c r="G155" s="70" t="s">
        <v>7</v>
      </c>
      <c r="I155" s="4" t="s">
        <v>16</v>
      </c>
      <c r="J155" s="8"/>
      <c r="K155" s="5"/>
      <c r="L155" s="70" t="s">
        <v>8</v>
      </c>
      <c r="N155" s="4" t="s">
        <v>99</v>
      </c>
    </row>
    <row r="156" spans="1:16" ht="18">
      <c r="A156" s="57">
        <f>+C156/(D156+E156)</f>
        <v>821964.1176470588</v>
      </c>
      <c r="B156" s="13">
        <v>43376</v>
      </c>
      <c r="C156" s="137">
        <v>13973390</v>
      </c>
      <c r="D156" s="49">
        <v>17</v>
      </c>
      <c r="E156" s="55"/>
      <c r="F156" s="21"/>
      <c r="G156" s="57">
        <f aca="true" t="shared" si="25" ref="G156:G166">+I156/J156</f>
        <v>896345.9090909091</v>
      </c>
      <c r="H156" s="13">
        <v>43374</v>
      </c>
      <c r="I156" s="7">
        <v>9859805</v>
      </c>
      <c r="J156" s="8">
        <v>11</v>
      </c>
      <c r="K156" s="5"/>
      <c r="L156" s="27">
        <f aca="true" t="shared" si="26" ref="L156:L165">+N156/O156</f>
        <v>793570.2857142857</v>
      </c>
      <c r="M156" s="13">
        <v>43375</v>
      </c>
      <c r="N156" s="39">
        <v>11109984</v>
      </c>
      <c r="O156" s="8">
        <v>14</v>
      </c>
      <c r="P156" s="56" t="s">
        <v>93</v>
      </c>
    </row>
    <row r="157" spans="1:19" ht="18">
      <c r="A157" s="27">
        <f>+C157/(D157+E157)</f>
        <v>787405.2941176471</v>
      </c>
      <c r="B157" s="11">
        <v>43378</v>
      </c>
      <c r="C157" s="137">
        <v>13385890</v>
      </c>
      <c r="D157" s="8">
        <v>17</v>
      </c>
      <c r="E157" s="47"/>
      <c r="F157" s="21"/>
      <c r="G157" s="57">
        <f t="shared" si="25"/>
        <v>814920.8461538461</v>
      </c>
      <c r="H157" s="13">
        <v>43377</v>
      </c>
      <c r="I157" s="87">
        <v>10593971</v>
      </c>
      <c r="J157" s="8">
        <v>13</v>
      </c>
      <c r="K157" s="5"/>
      <c r="L157" s="117">
        <f>+N157/(O157+P157)</f>
        <v>611285.2857142857</v>
      </c>
      <c r="M157" s="24">
        <v>43380</v>
      </c>
      <c r="N157" s="40">
        <v>8557994</v>
      </c>
      <c r="O157" s="49">
        <v>12</v>
      </c>
      <c r="P157" s="51">
        <v>2</v>
      </c>
      <c r="S157" s="30" t="s">
        <v>10</v>
      </c>
    </row>
    <row r="158" spans="1:19" ht="18">
      <c r="A158" s="27">
        <f>+C158/(D158+E158)</f>
        <v>767410.9411764706</v>
      </c>
      <c r="B158" s="13">
        <v>43383</v>
      </c>
      <c r="C158" s="137">
        <v>13045986</v>
      </c>
      <c r="D158" s="8">
        <v>17</v>
      </c>
      <c r="F158" s="21"/>
      <c r="G158" s="73">
        <f t="shared" si="25"/>
        <v>1523859.2</v>
      </c>
      <c r="H158" s="6">
        <v>43379</v>
      </c>
      <c r="I158" s="124">
        <v>22857888</v>
      </c>
      <c r="J158" s="8">
        <v>15</v>
      </c>
      <c r="K158" s="55" t="s">
        <v>50</v>
      </c>
      <c r="L158" s="27">
        <f t="shared" si="26"/>
        <v>796726.2857142857</v>
      </c>
      <c r="M158" s="13">
        <v>43382</v>
      </c>
      <c r="N158" s="39">
        <v>11154168</v>
      </c>
      <c r="O158" s="8">
        <v>14</v>
      </c>
      <c r="S158" s="31" t="s">
        <v>9</v>
      </c>
    </row>
    <row r="159" spans="1:19" ht="18">
      <c r="A159" s="73">
        <f>+C159/D159</f>
        <v>1297921.5882352942</v>
      </c>
      <c r="B159" s="6">
        <v>43386</v>
      </c>
      <c r="C159" s="124">
        <v>22064667</v>
      </c>
      <c r="D159" s="8">
        <v>17</v>
      </c>
      <c r="E159" s="55" t="s">
        <v>46</v>
      </c>
      <c r="F159" s="21"/>
      <c r="G159" s="57">
        <f t="shared" si="25"/>
        <v>880924.4166666666</v>
      </c>
      <c r="H159" s="13">
        <v>43381</v>
      </c>
      <c r="I159" s="87">
        <v>10571093</v>
      </c>
      <c r="J159" s="8">
        <v>12</v>
      </c>
      <c r="K159" s="5"/>
      <c r="L159" s="27">
        <f t="shared" si="26"/>
        <v>748349.8571428572</v>
      </c>
      <c r="M159" s="13">
        <v>43384</v>
      </c>
      <c r="N159" s="39">
        <v>10476898</v>
      </c>
      <c r="O159" s="8">
        <v>14</v>
      </c>
      <c r="S159" s="32" t="s">
        <v>12</v>
      </c>
    </row>
    <row r="160" spans="1:19" ht="18">
      <c r="A160" s="27">
        <f>+C160/(D160+E160)</f>
        <v>772722.5882352941</v>
      </c>
      <c r="B160" s="13">
        <v>43390</v>
      </c>
      <c r="C160" s="137">
        <v>13136284</v>
      </c>
      <c r="D160" s="8">
        <v>17</v>
      </c>
      <c r="F160" s="23"/>
      <c r="G160" s="57">
        <f t="shared" si="25"/>
        <v>852246.5454545454</v>
      </c>
      <c r="H160" s="11">
        <v>43385</v>
      </c>
      <c r="I160" s="7">
        <v>9374712</v>
      </c>
      <c r="J160" s="8">
        <v>11</v>
      </c>
      <c r="L160" s="27">
        <f t="shared" si="26"/>
        <v>705900.9285714285</v>
      </c>
      <c r="M160" s="13">
        <v>43389</v>
      </c>
      <c r="N160" s="7">
        <v>9882613</v>
      </c>
      <c r="O160" s="49">
        <v>14</v>
      </c>
      <c r="S160" s="59" t="s">
        <v>11</v>
      </c>
    </row>
    <row r="161" spans="1:19" ht="18">
      <c r="A161" s="57">
        <f>+C161/(D161+E161)</f>
        <v>807142.7333333333</v>
      </c>
      <c r="B161" s="11">
        <v>43392</v>
      </c>
      <c r="C161" s="137">
        <v>12107141</v>
      </c>
      <c r="D161" s="8">
        <v>15</v>
      </c>
      <c r="F161" s="23"/>
      <c r="G161" s="27">
        <f t="shared" si="25"/>
        <v>749677.3</v>
      </c>
      <c r="H161" s="24">
        <v>43387</v>
      </c>
      <c r="I161" s="115">
        <v>7496773</v>
      </c>
      <c r="J161" s="8">
        <v>10</v>
      </c>
      <c r="L161" s="27">
        <f t="shared" si="26"/>
        <v>763709.8571428572</v>
      </c>
      <c r="M161" s="13">
        <v>43391</v>
      </c>
      <c r="N161" s="39">
        <v>10691938</v>
      </c>
      <c r="O161" s="49">
        <v>14</v>
      </c>
      <c r="S161" s="53" t="s">
        <v>21</v>
      </c>
    </row>
    <row r="162" spans="1:15" ht="18">
      <c r="A162" s="114">
        <f>+C162/(D162+E162)</f>
        <v>660666.0666666667</v>
      </c>
      <c r="B162" s="24">
        <v>43394</v>
      </c>
      <c r="C162" s="7">
        <v>9909991</v>
      </c>
      <c r="D162" s="8">
        <v>15</v>
      </c>
      <c r="E162" s="26"/>
      <c r="F162" s="23"/>
      <c r="G162" s="57">
        <f t="shared" si="25"/>
        <v>962751.5</v>
      </c>
      <c r="H162" s="50">
        <v>43388</v>
      </c>
      <c r="I162" s="87">
        <v>11553018</v>
      </c>
      <c r="J162" s="8">
        <v>12</v>
      </c>
      <c r="L162" s="27">
        <f t="shared" si="26"/>
        <v>756466.5714285715</v>
      </c>
      <c r="M162" s="13">
        <v>43396</v>
      </c>
      <c r="N162" s="39">
        <v>10590532</v>
      </c>
      <c r="O162" s="49">
        <v>14</v>
      </c>
    </row>
    <row r="163" spans="1:16" ht="18">
      <c r="A163" s="57">
        <f>+C163/(D163+E163)</f>
        <v>810617.7333333333</v>
      </c>
      <c r="B163" s="13">
        <v>43397</v>
      </c>
      <c r="C163" s="137">
        <v>12159266</v>
      </c>
      <c r="D163" s="8">
        <v>15</v>
      </c>
      <c r="E163" s="26"/>
      <c r="F163" s="23"/>
      <c r="G163" s="57">
        <f t="shared" si="25"/>
        <v>994542.2307692308</v>
      </c>
      <c r="H163" s="6">
        <v>43393</v>
      </c>
      <c r="I163" s="137">
        <v>12929049</v>
      </c>
      <c r="J163" s="8">
        <v>13</v>
      </c>
      <c r="K163" s="86"/>
      <c r="L163" s="57">
        <f t="shared" si="26"/>
        <v>806772.5</v>
      </c>
      <c r="M163" s="13">
        <v>43398</v>
      </c>
      <c r="N163" s="39">
        <v>11294815</v>
      </c>
      <c r="O163" s="8">
        <v>14</v>
      </c>
      <c r="P163" s="56" t="s">
        <v>87</v>
      </c>
    </row>
    <row r="164" spans="1:20" ht="18">
      <c r="A164" s="57">
        <f>+C164/D164</f>
        <v>967428.5882352941</v>
      </c>
      <c r="B164" s="6">
        <v>43400</v>
      </c>
      <c r="C164" s="140">
        <v>16446286</v>
      </c>
      <c r="D164" s="8">
        <v>17</v>
      </c>
      <c r="E164" s="55" t="s">
        <v>51</v>
      </c>
      <c r="F164" s="23"/>
      <c r="G164" s="57">
        <f t="shared" si="25"/>
        <v>866427.2142857143</v>
      </c>
      <c r="H164" s="13">
        <v>43395</v>
      </c>
      <c r="I164" s="137">
        <v>12129981</v>
      </c>
      <c r="J164" s="8">
        <v>14</v>
      </c>
      <c r="L164" s="117">
        <f>+N164/(O164+P164)</f>
        <v>632980.8571428572</v>
      </c>
      <c r="M164" s="24">
        <v>43401</v>
      </c>
      <c r="N164" s="40">
        <v>8861732</v>
      </c>
      <c r="O164" s="8">
        <v>12</v>
      </c>
      <c r="P164" s="51">
        <v>2</v>
      </c>
      <c r="Q164" s="60" t="s">
        <v>13</v>
      </c>
      <c r="R164" s="61"/>
      <c r="S164" s="60" t="s">
        <v>14</v>
      </c>
      <c r="T164" s="61"/>
    </row>
    <row r="165" spans="1:20" ht="18">
      <c r="A165" s="27">
        <f>+C165/D165</f>
        <v>776840.7058823529</v>
      </c>
      <c r="B165" s="13">
        <v>43404</v>
      </c>
      <c r="C165" s="137">
        <v>13206292</v>
      </c>
      <c r="D165" s="8">
        <v>17</v>
      </c>
      <c r="F165" s="23"/>
      <c r="G165" s="57">
        <f t="shared" si="25"/>
        <v>804129.7692307692</v>
      </c>
      <c r="H165" s="11">
        <v>43399</v>
      </c>
      <c r="I165" s="87">
        <v>10453687</v>
      </c>
      <c r="J165" s="8">
        <v>13</v>
      </c>
      <c r="K165" s="55"/>
      <c r="L165" s="57">
        <f t="shared" si="26"/>
        <v>808056.0714285715</v>
      </c>
      <c r="M165" s="13">
        <v>43403</v>
      </c>
      <c r="N165" s="39">
        <v>11312785</v>
      </c>
      <c r="O165" s="49">
        <v>14</v>
      </c>
      <c r="P165" s="91"/>
      <c r="Q165" s="62">
        <f>+C168-I168</f>
        <v>-80406.12592788972</v>
      </c>
      <c r="R165" s="141">
        <f>+Q165/C168</f>
        <v>-0.094571566678822</v>
      </c>
      <c r="S165" s="62">
        <f>+C168-N168</f>
        <v>107832.74146341463</v>
      </c>
      <c r="T165" s="63">
        <f>+S165/C168</f>
        <v>0.1268300292021685</v>
      </c>
    </row>
    <row r="166" spans="1:20" ht="18">
      <c r="A166" s="100"/>
      <c r="B166" s="22"/>
      <c r="C166" s="101"/>
      <c r="D166" s="102"/>
      <c r="E166" s="103"/>
      <c r="F166" s="23"/>
      <c r="G166" s="27">
        <f t="shared" si="25"/>
        <v>757548.7142857143</v>
      </c>
      <c r="H166" s="13">
        <v>43402</v>
      </c>
      <c r="I166" s="87">
        <v>10605682</v>
      </c>
      <c r="J166" s="8">
        <v>14</v>
      </c>
      <c r="K166" s="55"/>
      <c r="L166" s="157"/>
      <c r="M166" s="22"/>
      <c r="N166" s="101"/>
      <c r="O166" s="172"/>
      <c r="P166" s="107"/>
      <c r="Q166" s="42" t="s">
        <v>24</v>
      </c>
      <c r="R166" s="43"/>
      <c r="S166" s="42" t="s">
        <v>25</v>
      </c>
      <c r="T166" s="43"/>
    </row>
    <row r="167" spans="1:20" ht="15">
      <c r="A167" s="34"/>
      <c r="B167" s="2"/>
      <c r="C167" s="15">
        <f>SUM(C156:C166)</f>
        <v>139435193</v>
      </c>
      <c r="D167" s="16">
        <f>SUM(D156:D166)</f>
        <v>164</v>
      </c>
      <c r="E167" s="17"/>
      <c r="F167" s="21"/>
      <c r="G167" s="9"/>
      <c r="H167" s="13"/>
      <c r="I167" s="15">
        <f>SUM(I156:I166)</f>
        <v>128425659</v>
      </c>
      <c r="J167" s="16">
        <f>SUM(J156:J166)</f>
        <v>138</v>
      </c>
      <c r="K167" s="17"/>
      <c r="L167" s="9"/>
      <c r="N167" s="15">
        <f>SUM(N156:N166)</f>
        <v>103933459</v>
      </c>
      <c r="O167" s="16">
        <f>SUM(O156:O166)</f>
        <v>136</v>
      </c>
      <c r="P167" s="17">
        <v>4</v>
      </c>
      <c r="Q167" s="44">
        <f>+C167-I167</f>
        <v>11009534</v>
      </c>
      <c r="R167" s="173">
        <f>+Q167/C167</f>
        <v>0.07895807194099125</v>
      </c>
      <c r="S167" s="44">
        <f>+C167-N167</f>
        <v>35501734</v>
      </c>
      <c r="T167" s="173">
        <f>+S167/C167</f>
        <v>0.2546110005384365</v>
      </c>
    </row>
    <row r="168" spans="1:20" ht="15" thickBot="1">
      <c r="A168" s="67"/>
      <c r="B168" s="66" t="s">
        <v>3</v>
      </c>
      <c r="C168" s="65">
        <f>+C167/(D167+E167)</f>
        <v>850214.5914634146</v>
      </c>
      <c r="D168" s="18">
        <f>+(D167+E167)/10</f>
        <v>16.4</v>
      </c>
      <c r="E168" s="19" t="s">
        <v>4</v>
      </c>
      <c r="F168" s="36"/>
      <c r="G168" s="67"/>
      <c r="H168" s="66" t="s">
        <v>3</v>
      </c>
      <c r="I168" s="65">
        <f>+I167/(J167+K167)</f>
        <v>930620.7173913043</v>
      </c>
      <c r="J168" s="18">
        <f>+(J167+K167)/10</f>
        <v>13.8</v>
      </c>
      <c r="K168" s="19"/>
      <c r="L168" s="67"/>
      <c r="M168" s="66" t="s">
        <v>3</v>
      </c>
      <c r="N168" s="65">
        <f>+N167/(O167+P167)</f>
        <v>742381.85</v>
      </c>
      <c r="O168" s="18">
        <f>+(O167+P167)/8</f>
        <v>17.5</v>
      </c>
      <c r="P168" s="19" t="s">
        <v>4</v>
      </c>
      <c r="Q168" s="48"/>
      <c r="R168" s="48"/>
      <c r="S168" s="48"/>
      <c r="T168" s="48"/>
    </row>
    <row r="169" spans="1:20" ht="15" thickTop="1">
      <c r="A169" s="94"/>
      <c r="B169" s="95"/>
      <c r="C169" s="96"/>
      <c r="D169" s="97"/>
      <c r="E169" s="98"/>
      <c r="F169" s="93"/>
      <c r="G169" s="94"/>
      <c r="H169" s="95"/>
      <c r="I169" s="96"/>
      <c r="J169" s="97"/>
      <c r="K169" s="98"/>
      <c r="L169" s="94"/>
      <c r="M169" s="95"/>
      <c r="N169" s="96"/>
      <c r="O169" s="97"/>
      <c r="P169" s="98"/>
      <c r="Q169" s="99"/>
      <c r="R169" s="99"/>
      <c r="S169" s="99"/>
      <c r="T169" s="99"/>
    </row>
    <row r="170" spans="3:20" ht="30">
      <c r="C170" s="74" t="s">
        <v>43</v>
      </c>
      <c r="Q170" s="60" t="s">
        <v>13</v>
      </c>
      <c r="R170" s="61"/>
      <c r="S170" s="60" t="s">
        <v>14</v>
      </c>
      <c r="T170" s="61"/>
    </row>
    <row r="171" spans="1:20" ht="14.25">
      <c r="A171" s="169">
        <v>0.09</v>
      </c>
      <c r="B171" s="170">
        <f>+C173*A171</f>
        <v>105596934.3</v>
      </c>
      <c r="C171" s="171" t="s">
        <v>104</v>
      </c>
      <c r="G171" s="169">
        <v>0.09</v>
      </c>
      <c r="H171" s="170">
        <f>+I173*G171</f>
        <v>98302883.49</v>
      </c>
      <c r="I171" s="171" t="s">
        <v>104</v>
      </c>
      <c r="L171" s="169">
        <v>0.09</v>
      </c>
      <c r="M171" s="170">
        <f>+N173*L171</f>
        <v>80014752.45</v>
      </c>
      <c r="N171" s="171" t="s">
        <v>104</v>
      </c>
      <c r="Q171" s="62">
        <f>+C174-I174</f>
        <v>-97169.33768059546</v>
      </c>
      <c r="R171" s="141">
        <f>+Q171/C174</f>
        <v>-0.12737282394521204</v>
      </c>
      <c r="S171" s="62">
        <f>+C174-N174</f>
        <v>102358.67354894441</v>
      </c>
      <c r="T171" s="63">
        <f>+S171/C174</f>
        <v>0.13417517929443226</v>
      </c>
    </row>
    <row r="172" spans="3:20" ht="14.25">
      <c r="C172" s="89" t="s">
        <v>113</v>
      </c>
      <c r="E172" s="88" t="s">
        <v>31</v>
      </c>
      <c r="I172" s="89" t="s">
        <v>119</v>
      </c>
      <c r="K172" s="88" t="s">
        <v>31</v>
      </c>
      <c r="N172" s="89" t="s">
        <v>141</v>
      </c>
      <c r="P172" s="88" t="s">
        <v>31</v>
      </c>
      <c r="Q172" s="42" t="s">
        <v>24</v>
      </c>
      <c r="R172" s="43"/>
      <c r="S172" s="42" t="s">
        <v>25</v>
      </c>
      <c r="T172" s="43"/>
    </row>
    <row r="173" spans="1:20" ht="15">
      <c r="A173" s="167"/>
      <c r="C173" s="15">
        <f>+C152+C167</f>
        <v>1173299270</v>
      </c>
      <c r="D173" s="16">
        <f>+D152+D167</f>
        <v>1532</v>
      </c>
      <c r="E173" s="17">
        <f>+E152+E167</f>
        <v>6</v>
      </c>
      <c r="I173" s="15">
        <f>+I152+I167</f>
        <v>1092254261</v>
      </c>
      <c r="J173" s="16">
        <f>+J152+J167</f>
        <v>1268</v>
      </c>
      <c r="K173" s="17">
        <f>+K152+K167</f>
        <v>2</v>
      </c>
      <c r="N173" s="15">
        <f>+N152+N167</f>
        <v>889052805</v>
      </c>
      <c r="O173" s="16">
        <f>+O152+O167</f>
        <v>1335</v>
      </c>
      <c r="P173" s="17">
        <v>11</v>
      </c>
      <c r="Q173" s="44">
        <f>+C173-I173</f>
        <v>81045009</v>
      </c>
      <c r="R173" s="173">
        <f>+Q173/C173</f>
        <v>0.06907445617007842</v>
      </c>
      <c r="S173" s="44">
        <f>+C173-N173</f>
        <v>284246465</v>
      </c>
      <c r="T173" s="173">
        <f>+S173/C173</f>
        <v>0.24226254312763698</v>
      </c>
    </row>
    <row r="174" spans="1:20" ht="15.75" thickBot="1">
      <c r="A174" s="67"/>
      <c r="B174" s="66" t="s">
        <v>3</v>
      </c>
      <c r="C174" s="65">
        <f>+C173/(D173+E173)</f>
        <v>762873.3875162549</v>
      </c>
      <c r="D174" s="18">
        <f>+(D173+E173)/71</f>
        <v>21.661971830985916</v>
      </c>
      <c r="E174" s="19" t="s">
        <v>4</v>
      </c>
      <c r="F174" s="36"/>
      <c r="G174" s="67"/>
      <c r="H174" s="66" t="s">
        <v>3</v>
      </c>
      <c r="I174" s="65">
        <f>+I173/(J173+K173)</f>
        <v>860042.7251968504</v>
      </c>
      <c r="J174" s="18">
        <f>+(J173+K173)/70</f>
        <v>18.142857142857142</v>
      </c>
      <c r="K174" s="19"/>
      <c r="L174" s="67"/>
      <c r="M174" s="66" t="s">
        <v>3</v>
      </c>
      <c r="N174" s="65">
        <f>+N173/(O173+P173)</f>
        <v>660514.7139673105</v>
      </c>
      <c r="O174" s="18">
        <f>+(O173+P173)/80</f>
        <v>16.825</v>
      </c>
      <c r="P174" s="19" t="s">
        <v>4</v>
      </c>
      <c r="Q174" s="75" t="s">
        <v>27</v>
      </c>
      <c r="R174" s="76">
        <f>+D173-J173</f>
        <v>264</v>
      </c>
      <c r="S174" s="75" t="s">
        <v>28</v>
      </c>
      <c r="T174" s="76">
        <f>+D173-O173</f>
        <v>197</v>
      </c>
    </row>
    <row r="175" spans="1:20" ht="25.5" thickBot="1" thickTop="1">
      <c r="A175" s="77" t="s">
        <v>29</v>
      </c>
      <c r="B175" s="78"/>
      <c r="C175" s="90">
        <f>+C173/$Q175</f>
        <v>0.37193207171698267</v>
      </c>
      <c r="D175" s="79"/>
      <c r="E175" s="80"/>
      <c r="F175" s="81"/>
      <c r="G175" s="82"/>
      <c r="H175" s="78"/>
      <c r="I175" s="90">
        <f>+I173/$Q175</f>
        <v>0.3462410661309215</v>
      </c>
      <c r="J175" s="79"/>
      <c r="K175" s="80"/>
      <c r="L175" s="82"/>
      <c r="M175" s="78"/>
      <c r="N175" s="90">
        <f>+N173/$Q175</f>
        <v>0.2818268621520958</v>
      </c>
      <c r="O175" s="79"/>
      <c r="P175" s="80"/>
      <c r="Q175" s="83">
        <f>+N173+I173+C173</f>
        <v>3154606336</v>
      </c>
      <c r="R175" s="84" t="s">
        <v>49</v>
      </c>
      <c r="S175" s="85"/>
      <c r="T175" s="108">
        <f>+C175+I175+N175</f>
        <v>1</v>
      </c>
    </row>
    <row r="176" spans="1:14" ht="20.25" thickTop="1">
      <c r="A176" s="1" t="s">
        <v>0</v>
      </c>
      <c r="B176" s="2"/>
      <c r="C176" s="20" t="s">
        <v>44</v>
      </c>
      <c r="D176" s="4" t="s">
        <v>2</v>
      </c>
      <c r="E176" s="144" t="s">
        <v>121</v>
      </c>
      <c r="F176" s="23"/>
      <c r="G176" s="70" t="s">
        <v>7</v>
      </c>
      <c r="I176" s="4" t="s">
        <v>2</v>
      </c>
      <c r="J176" s="8"/>
      <c r="K176" s="5"/>
      <c r="L176" s="70" t="s">
        <v>8</v>
      </c>
      <c r="N176" s="4" t="s">
        <v>139</v>
      </c>
    </row>
    <row r="177" spans="1:15" ht="18">
      <c r="A177" s="174">
        <f aca="true" t="shared" si="27" ref="A177:A183">+C177/(D177+E177)</f>
        <v>936291.0588235294</v>
      </c>
      <c r="B177" s="6">
        <v>43407</v>
      </c>
      <c r="C177" s="140">
        <v>15916948</v>
      </c>
      <c r="D177" s="38">
        <v>15</v>
      </c>
      <c r="E177" s="143">
        <v>2</v>
      </c>
      <c r="F177" s="21"/>
      <c r="G177" s="27">
        <f aca="true" t="shared" si="28" ref="G177:G186">+I177/J177</f>
        <v>782432.2307692308</v>
      </c>
      <c r="H177" s="13">
        <v>43405</v>
      </c>
      <c r="I177" s="39">
        <v>10171619</v>
      </c>
      <c r="J177" s="8">
        <v>13</v>
      </c>
      <c r="K177" s="5"/>
      <c r="L177" s="145">
        <f>+N177/(O177+P177)</f>
        <v>613667.6428571428</v>
      </c>
      <c r="M177" s="24">
        <v>43408</v>
      </c>
      <c r="N177" s="40">
        <v>8591347</v>
      </c>
      <c r="O177" s="8">
        <v>14</v>
      </c>
    </row>
    <row r="178" spans="1:19" ht="18">
      <c r="A178" s="27">
        <f t="shared" si="27"/>
        <v>759745</v>
      </c>
      <c r="B178" s="13">
        <v>43411</v>
      </c>
      <c r="C178" s="137">
        <v>12915665</v>
      </c>
      <c r="D178" s="8">
        <v>17</v>
      </c>
      <c r="E178" s="47"/>
      <c r="F178" s="21"/>
      <c r="G178" s="57">
        <f t="shared" si="28"/>
        <v>948142.4166666666</v>
      </c>
      <c r="H178" s="11">
        <v>43406</v>
      </c>
      <c r="I178" s="39">
        <v>11377709</v>
      </c>
      <c r="J178" s="8">
        <v>12</v>
      </c>
      <c r="K178" s="5"/>
      <c r="L178" s="27">
        <f>+N178/O178</f>
        <v>754831.0714285715</v>
      </c>
      <c r="M178" s="13">
        <v>43410</v>
      </c>
      <c r="N178" s="39">
        <v>10567635</v>
      </c>
      <c r="O178" s="49">
        <v>14</v>
      </c>
      <c r="S178" s="30" t="s">
        <v>10</v>
      </c>
    </row>
    <row r="179" spans="1:19" ht="18">
      <c r="A179" s="27">
        <f t="shared" si="27"/>
        <v>774282.2</v>
      </c>
      <c r="B179" s="11">
        <v>43413</v>
      </c>
      <c r="C179" s="87">
        <v>11614233</v>
      </c>
      <c r="D179" s="49">
        <v>15</v>
      </c>
      <c r="F179" s="21"/>
      <c r="G179" s="57">
        <f t="shared" si="28"/>
        <v>820230.5833333334</v>
      </c>
      <c r="H179" s="13">
        <v>43409</v>
      </c>
      <c r="I179" s="7">
        <v>9842767</v>
      </c>
      <c r="J179" s="8">
        <v>12</v>
      </c>
      <c r="K179" s="55"/>
      <c r="L179" s="27">
        <f>+N179/(O179+P179)</f>
        <v>782732.4285714285</v>
      </c>
      <c r="M179" s="13">
        <v>43412</v>
      </c>
      <c r="N179" s="39">
        <v>10958254</v>
      </c>
      <c r="O179" s="8">
        <v>14</v>
      </c>
      <c r="S179" s="31" t="s">
        <v>9</v>
      </c>
    </row>
    <row r="180" spans="1:19" ht="18">
      <c r="A180" s="114">
        <f>+C180/D180</f>
        <v>601001.3333333334</v>
      </c>
      <c r="B180" s="24">
        <v>43415</v>
      </c>
      <c r="C180" s="7">
        <v>9015020</v>
      </c>
      <c r="D180" s="8">
        <v>15</v>
      </c>
      <c r="E180" s="176" t="s">
        <v>126</v>
      </c>
      <c r="F180" s="21"/>
      <c r="G180" s="118">
        <f t="shared" si="28"/>
        <v>2287097</v>
      </c>
      <c r="H180" s="6">
        <v>43414</v>
      </c>
      <c r="I180" s="39">
        <v>11435485</v>
      </c>
      <c r="J180" s="8">
        <v>5</v>
      </c>
      <c r="K180" s="5" t="s">
        <v>122</v>
      </c>
      <c r="L180" s="145">
        <f>+N180/(O180+P180)</f>
        <v>610918.9285714285</v>
      </c>
      <c r="M180" s="13">
        <v>43417</v>
      </c>
      <c r="N180" s="40">
        <v>8552865</v>
      </c>
      <c r="O180" s="8">
        <v>14</v>
      </c>
      <c r="S180" s="32" t="s">
        <v>12</v>
      </c>
    </row>
    <row r="181" spans="1:19" ht="18">
      <c r="A181" s="27">
        <f t="shared" si="27"/>
        <v>795753.2666666667</v>
      </c>
      <c r="B181" s="13">
        <v>43418</v>
      </c>
      <c r="C181" s="87">
        <v>11936299</v>
      </c>
      <c r="D181" s="49">
        <v>15</v>
      </c>
      <c r="F181" s="23"/>
      <c r="G181" s="27">
        <f t="shared" si="28"/>
        <v>760262.7333333333</v>
      </c>
      <c r="H181" s="13">
        <v>43416</v>
      </c>
      <c r="I181" s="39">
        <v>11403941</v>
      </c>
      <c r="J181" s="8">
        <v>15</v>
      </c>
      <c r="L181" s="145">
        <f>+N181/(O181+P181)</f>
        <v>649452.9285714285</v>
      </c>
      <c r="M181" s="13">
        <v>43419</v>
      </c>
      <c r="N181" s="7">
        <v>9092341</v>
      </c>
      <c r="O181" s="8">
        <v>14</v>
      </c>
      <c r="S181" s="59" t="s">
        <v>11</v>
      </c>
    </row>
    <row r="182" spans="1:19" ht="18">
      <c r="A182" s="27">
        <f t="shared" si="27"/>
        <v>798076.4117647059</v>
      </c>
      <c r="B182" s="24">
        <v>43422</v>
      </c>
      <c r="C182" s="137">
        <v>13567299</v>
      </c>
      <c r="D182" s="8">
        <v>17</v>
      </c>
      <c r="F182" s="23"/>
      <c r="G182" s="73">
        <f t="shared" si="28"/>
        <v>1421890.875</v>
      </c>
      <c r="H182" s="11">
        <v>43420</v>
      </c>
      <c r="I182" s="124">
        <v>22750254</v>
      </c>
      <c r="J182" s="8">
        <v>16</v>
      </c>
      <c r="K182" s="5" t="s">
        <v>123</v>
      </c>
      <c r="L182" s="27">
        <f>+N182/(O182+P182)</f>
        <v>768144.3333333334</v>
      </c>
      <c r="M182" s="6">
        <v>43421</v>
      </c>
      <c r="N182" s="39">
        <v>11522165</v>
      </c>
      <c r="O182" s="49">
        <v>15</v>
      </c>
      <c r="P182" s="35"/>
      <c r="S182" s="53" t="s">
        <v>21</v>
      </c>
    </row>
    <row r="183" spans="1:15" ht="18">
      <c r="A183" s="27">
        <f t="shared" si="27"/>
        <v>726730.3125</v>
      </c>
      <c r="B183" s="13">
        <v>43425</v>
      </c>
      <c r="C183" s="87">
        <v>11627685</v>
      </c>
      <c r="D183" s="8">
        <v>16</v>
      </c>
      <c r="F183" s="23"/>
      <c r="G183" s="57">
        <f t="shared" si="28"/>
        <v>800089.2</v>
      </c>
      <c r="H183" s="13">
        <v>43424</v>
      </c>
      <c r="I183" s="137">
        <v>12001338</v>
      </c>
      <c r="J183" s="8">
        <v>15</v>
      </c>
      <c r="L183" s="27"/>
      <c r="M183" s="50">
        <v>43423</v>
      </c>
      <c r="N183" s="128" t="s">
        <v>124</v>
      </c>
      <c r="O183" s="49"/>
    </row>
    <row r="184" spans="1:16" ht="18">
      <c r="A184" s="27">
        <f>+C184/(D184+E184)</f>
        <v>743079.4117647059</v>
      </c>
      <c r="B184" s="13">
        <v>43426</v>
      </c>
      <c r="C184" s="137">
        <v>12632350</v>
      </c>
      <c r="D184" s="8">
        <v>17</v>
      </c>
      <c r="F184" s="23"/>
      <c r="G184" s="57">
        <f t="shared" si="28"/>
        <v>856428.1538461539</v>
      </c>
      <c r="H184" s="11">
        <v>43427</v>
      </c>
      <c r="I184" s="39">
        <v>11133566</v>
      </c>
      <c r="J184" s="8">
        <v>13</v>
      </c>
      <c r="K184" s="144" t="s">
        <v>85</v>
      </c>
      <c r="L184" s="145">
        <f>+N184/(O184+P184)</f>
        <v>613038.1333333333</v>
      </c>
      <c r="M184" s="6">
        <v>43428</v>
      </c>
      <c r="N184" s="7">
        <v>9195572</v>
      </c>
      <c r="O184" s="8">
        <v>15</v>
      </c>
      <c r="P184" s="176"/>
    </row>
    <row r="185" spans="1:20" ht="18">
      <c r="A185" s="114">
        <f>+C185/D185</f>
        <v>695017.1764705882</v>
      </c>
      <c r="B185" s="13">
        <v>43432</v>
      </c>
      <c r="C185" s="87">
        <v>11815292</v>
      </c>
      <c r="D185" s="8">
        <v>17</v>
      </c>
      <c r="F185" s="23"/>
      <c r="G185" s="117">
        <f>+I185/(J185+K185)</f>
        <v>652621.7333333333</v>
      </c>
      <c r="H185" s="24">
        <v>43429</v>
      </c>
      <c r="I185" s="7">
        <v>9789326</v>
      </c>
      <c r="J185" s="8">
        <v>13</v>
      </c>
      <c r="K185" s="143">
        <v>2</v>
      </c>
      <c r="L185" s="27">
        <f>+N185/(O185+P185)</f>
        <v>754704.1428571428</v>
      </c>
      <c r="M185" s="13">
        <v>43431</v>
      </c>
      <c r="N185" s="39">
        <v>10565858</v>
      </c>
      <c r="O185" s="8">
        <v>14</v>
      </c>
      <c r="P185" s="91"/>
      <c r="Q185" s="60" t="s">
        <v>13</v>
      </c>
      <c r="R185" s="61"/>
      <c r="S185" s="60" t="s">
        <v>14</v>
      </c>
      <c r="T185" s="61"/>
    </row>
    <row r="186" spans="1:20" ht="18">
      <c r="A186" s="27">
        <f>+C186/D186</f>
        <v>799907.7647058824</v>
      </c>
      <c r="B186" s="11">
        <v>43434</v>
      </c>
      <c r="C186" s="137">
        <v>13598432</v>
      </c>
      <c r="D186" s="8">
        <v>17</v>
      </c>
      <c r="E186" s="55" t="s">
        <v>127</v>
      </c>
      <c r="F186" s="23"/>
      <c r="G186" s="27">
        <f t="shared" si="28"/>
        <v>717569.6153846154</v>
      </c>
      <c r="H186" s="13">
        <v>43430</v>
      </c>
      <c r="I186" s="7">
        <v>9328405</v>
      </c>
      <c r="J186" s="8">
        <v>13</v>
      </c>
      <c r="K186" s="55"/>
      <c r="L186" s="27">
        <f>+N186/(O186+P186)</f>
        <v>779483.2857142857</v>
      </c>
      <c r="M186" s="13">
        <v>43433</v>
      </c>
      <c r="N186" s="39">
        <v>10912766</v>
      </c>
      <c r="O186" s="49">
        <v>14</v>
      </c>
      <c r="P186" s="91"/>
      <c r="Q186" s="62">
        <f>+C189-I189</f>
        <v>-159639.94212203356</v>
      </c>
      <c r="R186" s="141">
        <f>+Q186/C189</f>
        <v>-0.2087730486404867</v>
      </c>
      <c r="S186" s="62">
        <f>+C189-N189</f>
        <v>61854.661378450925</v>
      </c>
      <c r="T186" s="63">
        <f>+S186/C189</f>
        <v>0.08089195007808658</v>
      </c>
    </row>
    <row r="187" spans="1:20" ht="18">
      <c r="A187" s="100"/>
      <c r="B187" s="22"/>
      <c r="C187" s="101"/>
      <c r="D187" s="102"/>
      <c r="E187" s="103"/>
      <c r="F187" s="23"/>
      <c r="G187" s="37"/>
      <c r="H187" s="23"/>
      <c r="I187" s="23"/>
      <c r="J187" s="23"/>
      <c r="K187" s="23"/>
      <c r="L187" s="37"/>
      <c r="M187" s="23"/>
      <c r="N187" s="23"/>
      <c r="O187" s="23"/>
      <c r="P187" s="23"/>
      <c r="Q187" s="42" t="s">
        <v>24</v>
      </c>
      <c r="R187" s="43"/>
      <c r="S187" s="42" t="s">
        <v>25</v>
      </c>
      <c r="T187" s="43"/>
    </row>
    <row r="188" spans="1:20" ht="15">
      <c r="A188" s="34"/>
      <c r="B188" s="2"/>
      <c r="C188" s="15">
        <f>SUM(C177:C187)</f>
        <v>124639223</v>
      </c>
      <c r="D188" s="16">
        <f>SUM(D177:D187)</f>
        <v>161</v>
      </c>
      <c r="E188" s="17">
        <v>2</v>
      </c>
      <c r="F188" s="21"/>
      <c r="G188" s="9"/>
      <c r="H188" s="13"/>
      <c r="I188" s="15">
        <f>SUM(I177:I187)</f>
        <v>119234410</v>
      </c>
      <c r="J188" s="16">
        <f>SUM(J177:J187)</f>
        <v>127</v>
      </c>
      <c r="K188" s="17">
        <v>2</v>
      </c>
      <c r="L188" s="9"/>
      <c r="N188" s="15">
        <f>SUM(N177:N187)</f>
        <v>89958803</v>
      </c>
      <c r="O188" s="16">
        <f>SUM(O177:O187)</f>
        <v>128</v>
      </c>
      <c r="P188" s="17"/>
      <c r="Q188" s="44">
        <f>+C188-I188</f>
        <v>5404813</v>
      </c>
      <c r="R188" s="64">
        <f>+Q188/C188</f>
        <v>0.04336366089188473</v>
      </c>
      <c r="S188" s="44">
        <f>+C188-N188</f>
        <v>34680420</v>
      </c>
      <c r="T188" s="64">
        <f>+S188/C188</f>
        <v>0.2782464393251232</v>
      </c>
    </row>
    <row r="189" spans="1:20" ht="15" thickBot="1">
      <c r="A189" s="67"/>
      <c r="B189" s="66" t="s">
        <v>3</v>
      </c>
      <c r="C189" s="65">
        <f>+C188/(D188+E188)</f>
        <v>764657.8098159509</v>
      </c>
      <c r="D189" s="18">
        <f>+(D188+E188)/10</f>
        <v>16.3</v>
      </c>
      <c r="E189" s="19" t="s">
        <v>4</v>
      </c>
      <c r="F189" s="36"/>
      <c r="G189" s="67"/>
      <c r="H189" s="66" t="s">
        <v>3</v>
      </c>
      <c r="I189" s="65">
        <f>+I188/(J188+K188)</f>
        <v>924297.7519379845</v>
      </c>
      <c r="J189" s="18">
        <f>+(J188+K188)/10</f>
        <v>12.9</v>
      </c>
      <c r="K189" s="19"/>
      <c r="L189" s="67"/>
      <c r="M189" s="66" t="s">
        <v>3</v>
      </c>
      <c r="N189" s="65">
        <f>+N188/(O188+P188)</f>
        <v>702803.1484375</v>
      </c>
      <c r="O189" s="18">
        <f>+(O188+P188)/8</f>
        <v>16</v>
      </c>
      <c r="P189" s="19" t="s">
        <v>4</v>
      </c>
      <c r="Q189" s="48"/>
      <c r="R189" s="48"/>
      <c r="S189" s="48"/>
      <c r="T189" s="48"/>
    </row>
    <row r="190" spans="1:20" ht="15" thickTop="1">
      <c r="A190" s="94"/>
      <c r="B190" s="95"/>
      <c r="C190" s="96"/>
      <c r="D190" s="97"/>
      <c r="E190" s="98"/>
      <c r="F190" s="93"/>
      <c r="G190" s="94"/>
      <c r="H190" s="95"/>
      <c r="I190" s="96"/>
      <c r="J190" s="97"/>
      <c r="K190" s="98"/>
      <c r="L190" s="94"/>
      <c r="M190" s="95"/>
      <c r="N190" s="96"/>
      <c r="O190" s="97"/>
      <c r="P190" s="98"/>
      <c r="Q190" s="99"/>
      <c r="R190" s="99"/>
      <c r="S190" s="99"/>
      <c r="T190" s="99"/>
    </row>
    <row r="191" spans="1:20" ht="14.25">
      <c r="A191" s="169">
        <v>0.09</v>
      </c>
      <c r="B191" s="170">
        <f>+C194*A191</f>
        <v>116814464.36999999</v>
      </c>
      <c r="C191" s="171" t="s">
        <v>104</v>
      </c>
      <c r="G191" s="169">
        <v>0.09</v>
      </c>
      <c r="H191" s="170">
        <f>+I194*G191</f>
        <v>109033980.39</v>
      </c>
      <c r="I191" s="171" t="s">
        <v>104</v>
      </c>
      <c r="L191" s="169">
        <v>0.09</v>
      </c>
      <c r="M191" s="170">
        <f>+N194*L191</f>
        <v>88111044.72</v>
      </c>
      <c r="N191" s="171" t="s">
        <v>104</v>
      </c>
      <c r="Q191" s="60" t="s">
        <v>13</v>
      </c>
      <c r="R191" s="61"/>
      <c r="S191" s="60" t="s">
        <v>14</v>
      </c>
      <c r="T191" s="61"/>
    </row>
    <row r="192" spans="3:20" ht="30">
      <c r="C192" s="74" t="s">
        <v>48</v>
      </c>
      <c r="Q192" s="62">
        <f>+C195-I195</f>
        <v>-102923.21745901485</v>
      </c>
      <c r="R192" s="141">
        <f>+Q192/C195</f>
        <v>-0.13488496861906712</v>
      </c>
      <c r="S192" s="62">
        <f>+C195-N195</f>
        <v>98857.40189305192</v>
      </c>
      <c r="T192" s="63">
        <f>+S192/C195</f>
        <v>0.12955655566652596</v>
      </c>
    </row>
    <row r="193" spans="3:20" ht="14.25">
      <c r="C193" s="89" t="s">
        <v>114</v>
      </c>
      <c r="E193" s="88" t="s">
        <v>31</v>
      </c>
      <c r="I193" s="89" t="s">
        <v>120</v>
      </c>
      <c r="K193" s="88" t="s">
        <v>31</v>
      </c>
      <c r="N193" s="89" t="s">
        <v>111</v>
      </c>
      <c r="P193" s="88" t="s">
        <v>31</v>
      </c>
      <c r="Q193" s="42" t="s">
        <v>24</v>
      </c>
      <c r="R193" s="43"/>
      <c r="S193" s="42" t="s">
        <v>25</v>
      </c>
      <c r="T193" s="43"/>
    </row>
    <row r="194" spans="3:20" ht="15">
      <c r="C194" s="15">
        <f>+C173+C188</f>
        <v>1297938493</v>
      </c>
      <c r="D194" s="16">
        <f>+D173+D188</f>
        <v>1693</v>
      </c>
      <c r="E194" s="17">
        <f>+E173+E188</f>
        <v>8</v>
      </c>
      <c r="I194" s="15">
        <f>+I173+I188</f>
        <v>1211488671</v>
      </c>
      <c r="J194" s="16">
        <f>+J173+J188</f>
        <v>1395</v>
      </c>
      <c r="K194" s="17">
        <f>+K173+K188</f>
        <v>4</v>
      </c>
      <c r="N194" s="15">
        <f>+N173+N188</f>
        <v>979011608</v>
      </c>
      <c r="O194" s="16">
        <f>+O173+O188</f>
        <v>1463</v>
      </c>
      <c r="P194" s="17">
        <v>11</v>
      </c>
      <c r="Q194" s="44">
        <f>+C194-I194</f>
        <v>86449822</v>
      </c>
      <c r="R194" s="64">
        <f>+Q194/C194</f>
        <v>0.06660548436327175</v>
      </c>
      <c r="S194" s="44">
        <f>+C194-N194</f>
        <v>318926885</v>
      </c>
      <c r="T194" s="64">
        <f>+S194/C194</f>
        <v>0.24571802648586677</v>
      </c>
    </row>
    <row r="195" spans="1:20" ht="15.75" thickBot="1">
      <c r="A195" s="67"/>
      <c r="B195" s="66" t="s">
        <v>3</v>
      </c>
      <c r="C195" s="65">
        <f>+C194/(D194+E194)</f>
        <v>763044.3815402704</v>
      </c>
      <c r="D195" s="18">
        <f>+(D194+E194)/71</f>
        <v>23.95774647887324</v>
      </c>
      <c r="E195" s="19" t="s">
        <v>4</v>
      </c>
      <c r="F195" s="36"/>
      <c r="G195" s="67"/>
      <c r="H195" s="66" t="s">
        <v>3</v>
      </c>
      <c r="I195" s="65">
        <f>+I194/(J194+K194)</f>
        <v>865967.5989992853</v>
      </c>
      <c r="J195" s="18">
        <f>+(J194+K194)/70</f>
        <v>19.985714285714284</v>
      </c>
      <c r="K195" s="19"/>
      <c r="L195" s="67"/>
      <c r="M195" s="66" t="s">
        <v>3</v>
      </c>
      <c r="N195" s="65">
        <f>+N194/(O194+P194)</f>
        <v>664186.9796472185</v>
      </c>
      <c r="O195" s="18">
        <f>+(O194+P194)/80</f>
        <v>18.425</v>
      </c>
      <c r="P195" s="19" t="s">
        <v>4</v>
      </c>
      <c r="Q195" s="75" t="s">
        <v>27</v>
      </c>
      <c r="R195" s="76">
        <f>+D194-J194</f>
        <v>298</v>
      </c>
      <c r="S195" s="75" t="s">
        <v>28</v>
      </c>
      <c r="T195" s="76">
        <f>+D194-O194</f>
        <v>230</v>
      </c>
    </row>
    <row r="196" spans="1:20" ht="25.5" thickBot="1" thickTop="1">
      <c r="A196" s="77" t="s">
        <v>29</v>
      </c>
      <c r="B196" s="78"/>
      <c r="C196" s="90">
        <f>+C194/$Q196</f>
        <v>0.3720685893695256</v>
      </c>
      <c r="D196" s="79"/>
      <c r="E196" s="80"/>
      <c r="F196" s="81"/>
      <c r="G196" s="82"/>
      <c r="H196" s="78"/>
      <c r="I196" s="90">
        <f>+I194/$Q196</f>
        <v>0.34728678075820907</v>
      </c>
      <c r="J196" s="79"/>
      <c r="K196" s="80"/>
      <c r="L196" s="82"/>
      <c r="M196" s="78"/>
      <c r="N196" s="90">
        <f>+N194/$Q196</f>
        <v>0.2806446298722654</v>
      </c>
      <c r="O196" s="79"/>
      <c r="P196" s="80"/>
      <c r="Q196" s="83">
        <f>+N194+I194+C194</f>
        <v>3488438772</v>
      </c>
      <c r="R196" s="84" t="s">
        <v>47</v>
      </c>
      <c r="S196" s="85"/>
      <c r="T196" s="108">
        <f>+C196+I196+N196</f>
        <v>1</v>
      </c>
    </row>
    <row r="197" spans="1:14" ht="20.25" thickTop="1">
      <c r="A197" s="1" t="s">
        <v>0</v>
      </c>
      <c r="B197" s="2"/>
      <c r="C197" s="20" t="s">
        <v>45</v>
      </c>
      <c r="D197" s="4" t="s">
        <v>6</v>
      </c>
      <c r="E197" s="5"/>
      <c r="F197" s="23"/>
      <c r="G197" s="70" t="s">
        <v>7</v>
      </c>
      <c r="I197" s="4" t="s">
        <v>2</v>
      </c>
      <c r="J197" s="8"/>
      <c r="K197" s="5"/>
      <c r="L197" s="70" t="s">
        <v>8</v>
      </c>
      <c r="N197" s="4" t="s">
        <v>6</v>
      </c>
    </row>
    <row r="198" spans="1:16" ht="18">
      <c r="A198" s="27">
        <f aca="true" t="shared" si="29" ref="A198:A206">+C198/D198</f>
        <v>762442.8235294118</v>
      </c>
      <c r="B198" s="13">
        <v>43439</v>
      </c>
      <c r="C198" s="137">
        <v>12961528</v>
      </c>
      <c r="D198" s="8">
        <v>17</v>
      </c>
      <c r="F198" s="21"/>
      <c r="G198" s="57">
        <f aca="true" t="shared" si="30" ref="G198:G207">+I198/J198</f>
        <v>853068.4615384615</v>
      </c>
      <c r="H198" s="6">
        <v>43435</v>
      </c>
      <c r="I198" s="87">
        <v>11089890</v>
      </c>
      <c r="J198" s="8">
        <v>13</v>
      </c>
      <c r="K198" s="55" t="s">
        <v>127</v>
      </c>
      <c r="L198" s="73">
        <f>+N198/O198</f>
        <v>1282711.5333333334</v>
      </c>
      <c r="M198" s="24">
        <v>43436</v>
      </c>
      <c r="N198" s="140">
        <v>19240673</v>
      </c>
      <c r="O198" s="8">
        <v>15</v>
      </c>
      <c r="P198" s="5" t="s">
        <v>125</v>
      </c>
    </row>
    <row r="199" spans="1:19" ht="18">
      <c r="A199" s="57">
        <f t="shared" si="29"/>
        <v>897661.8235294118</v>
      </c>
      <c r="B199" s="6">
        <v>43442</v>
      </c>
      <c r="C199" s="140">
        <v>15260251</v>
      </c>
      <c r="D199" s="8">
        <v>17</v>
      </c>
      <c r="F199" s="21"/>
      <c r="G199" s="57">
        <f t="shared" si="30"/>
        <v>807170.0833333334</v>
      </c>
      <c r="H199" s="13">
        <v>43437</v>
      </c>
      <c r="I199" s="7">
        <v>9686041</v>
      </c>
      <c r="J199" s="8">
        <v>12</v>
      </c>
      <c r="K199" s="5"/>
      <c r="L199" s="145">
        <f aca="true" t="shared" si="31" ref="L199:L206">+N199/(O199+P199)</f>
        <v>676551.7857142857</v>
      </c>
      <c r="M199" s="13">
        <v>43438</v>
      </c>
      <c r="N199" s="7">
        <v>9471725</v>
      </c>
      <c r="O199" s="49">
        <v>14</v>
      </c>
      <c r="S199" s="30" t="s">
        <v>10</v>
      </c>
    </row>
    <row r="200" spans="1:19" ht="18">
      <c r="A200" s="27">
        <f t="shared" si="29"/>
        <v>787588</v>
      </c>
      <c r="B200" s="13">
        <v>43446</v>
      </c>
      <c r="C200" s="137">
        <v>13388996</v>
      </c>
      <c r="D200" s="8">
        <v>17</v>
      </c>
      <c r="F200" s="21"/>
      <c r="G200" s="57">
        <f t="shared" si="30"/>
        <v>817625.25</v>
      </c>
      <c r="H200" s="13">
        <v>43440</v>
      </c>
      <c r="I200" s="7">
        <v>9811503</v>
      </c>
      <c r="J200" s="8">
        <v>12</v>
      </c>
      <c r="K200" s="5"/>
      <c r="L200" s="145">
        <f t="shared" si="31"/>
        <v>698899.2142857143</v>
      </c>
      <c r="M200" s="11">
        <v>43441</v>
      </c>
      <c r="N200" s="7">
        <v>9784589</v>
      </c>
      <c r="O200" s="8">
        <v>14</v>
      </c>
      <c r="S200" s="31" t="s">
        <v>9</v>
      </c>
    </row>
    <row r="201" spans="1:19" ht="18">
      <c r="A201" s="118">
        <f t="shared" si="29"/>
        <v>1879246.888888889</v>
      </c>
      <c r="B201" s="6">
        <v>43449</v>
      </c>
      <c r="C201" s="124">
        <v>33826444</v>
      </c>
      <c r="D201" s="8">
        <v>18</v>
      </c>
      <c r="F201" s="21"/>
      <c r="G201" s="27">
        <f t="shared" si="30"/>
        <v>716880.9375</v>
      </c>
      <c r="H201" s="24">
        <v>43443</v>
      </c>
      <c r="I201" s="87">
        <v>11470095</v>
      </c>
      <c r="J201" s="8">
        <v>16</v>
      </c>
      <c r="K201" s="5"/>
      <c r="L201" s="27">
        <f t="shared" si="31"/>
        <v>798443.0714285715</v>
      </c>
      <c r="M201" s="13">
        <v>43445</v>
      </c>
      <c r="N201" s="39">
        <v>11178203</v>
      </c>
      <c r="O201" s="8">
        <v>14</v>
      </c>
      <c r="S201" s="32" t="s">
        <v>12</v>
      </c>
    </row>
    <row r="202" spans="1:19" ht="18">
      <c r="A202" s="27">
        <f t="shared" si="29"/>
        <v>729353.8823529412</v>
      </c>
      <c r="B202" s="13">
        <v>43453</v>
      </c>
      <c r="C202" s="137">
        <v>12399016</v>
      </c>
      <c r="D202" s="8">
        <v>17</v>
      </c>
      <c r="F202" s="23"/>
      <c r="G202" s="27">
        <f t="shared" si="30"/>
        <v>770042.7333333333</v>
      </c>
      <c r="H202" s="13">
        <v>43444</v>
      </c>
      <c r="I202" s="87">
        <v>11550641</v>
      </c>
      <c r="J202" s="8">
        <v>15</v>
      </c>
      <c r="L202" s="145">
        <f t="shared" si="31"/>
        <v>671008</v>
      </c>
      <c r="M202" s="13">
        <v>43447</v>
      </c>
      <c r="N202" s="7">
        <v>9394112</v>
      </c>
      <c r="O202" s="49">
        <v>14</v>
      </c>
      <c r="S202" s="59" t="s">
        <v>11</v>
      </c>
    </row>
    <row r="203" spans="1:19" ht="18">
      <c r="A203" s="27">
        <f t="shared" si="29"/>
        <v>789529.625</v>
      </c>
      <c r="B203" s="11">
        <v>43455</v>
      </c>
      <c r="C203" s="137">
        <v>12632474</v>
      </c>
      <c r="D203" s="8">
        <v>16</v>
      </c>
      <c r="E203" s="35"/>
      <c r="F203" s="23"/>
      <c r="G203" s="57">
        <f t="shared" si="30"/>
        <v>849080</v>
      </c>
      <c r="H203" s="11">
        <v>43448</v>
      </c>
      <c r="I203" s="137">
        <v>12736200</v>
      </c>
      <c r="J203" s="8">
        <v>15</v>
      </c>
      <c r="L203" s="145">
        <f t="shared" si="31"/>
        <v>607052</v>
      </c>
      <c r="M203" s="24">
        <v>43450</v>
      </c>
      <c r="N203" s="7">
        <v>9105780</v>
      </c>
      <c r="O203" s="49">
        <v>15</v>
      </c>
      <c r="S203" s="53" t="s">
        <v>21</v>
      </c>
    </row>
    <row r="204" spans="1:15" ht="18">
      <c r="A204" s="27">
        <f t="shared" si="29"/>
        <v>788890.0625</v>
      </c>
      <c r="B204" s="24">
        <v>43457</v>
      </c>
      <c r="C204" s="137">
        <v>12622241</v>
      </c>
      <c r="D204" s="8">
        <v>16</v>
      </c>
      <c r="F204" s="23"/>
      <c r="G204" s="57">
        <f t="shared" si="30"/>
        <v>833003.9285714285</v>
      </c>
      <c r="H204" s="13">
        <v>43451</v>
      </c>
      <c r="I204" s="87">
        <v>11662055</v>
      </c>
      <c r="J204" s="8">
        <v>14</v>
      </c>
      <c r="L204" s="145">
        <f t="shared" si="31"/>
        <v>690459.5714285715</v>
      </c>
      <c r="M204" s="13">
        <v>43452</v>
      </c>
      <c r="N204" s="7">
        <v>9666434</v>
      </c>
      <c r="O204" s="49">
        <v>14</v>
      </c>
    </row>
    <row r="205" spans="1:16" ht="18">
      <c r="A205" s="27">
        <f t="shared" si="29"/>
        <v>762590</v>
      </c>
      <c r="B205" s="13">
        <v>43460</v>
      </c>
      <c r="C205" s="137">
        <v>12201440</v>
      </c>
      <c r="D205" s="8">
        <v>16</v>
      </c>
      <c r="E205" s="35"/>
      <c r="F205" s="23"/>
      <c r="G205" s="57">
        <f t="shared" si="30"/>
        <v>901275.7777777778</v>
      </c>
      <c r="H205" s="6">
        <v>43456</v>
      </c>
      <c r="I205" s="140">
        <v>16222964</v>
      </c>
      <c r="J205" s="8">
        <v>18</v>
      </c>
      <c r="K205" s="86"/>
      <c r="L205" s="145">
        <f t="shared" si="31"/>
        <v>684724.3571428572</v>
      </c>
      <c r="M205" s="13">
        <v>43454</v>
      </c>
      <c r="N205" s="7">
        <v>9586141</v>
      </c>
      <c r="O205" s="49">
        <v>14</v>
      </c>
      <c r="P205" s="91"/>
    </row>
    <row r="206" spans="1:20" ht="18">
      <c r="A206" s="118">
        <f t="shared" si="29"/>
        <v>1139822</v>
      </c>
      <c r="B206" s="6">
        <v>43463</v>
      </c>
      <c r="C206" s="140">
        <v>18237152</v>
      </c>
      <c r="D206" s="8">
        <v>16</v>
      </c>
      <c r="F206" s="23"/>
      <c r="G206" s="27">
        <f t="shared" si="30"/>
        <v>747603.4375</v>
      </c>
      <c r="H206" s="11">
        <v>43462</v>
      </c>
      <c r="I206" s="87">
        <v>11961655</v>
      </c>
      <c r="J206" s="8">
        <v>16</v>
      </c>
      <c r="L206" s="27">
        <f t="shared" si="31"/>
        <v>786611.6428571428</v>
      </c>
      <c r="M206" s="13">
        <v>43461</v>
      </c>
      <c r="N206" s="39">
        <v>11012563</v>
      </c>
      <c r="O206" s="49">
        <v>14</v>
      </c>
      <c r="P206" s="91"/>
      <c r="Q206" s="191" t="s">
        <v>13</v>
      </c>
      <c r="R206" s="61"/>
      <c r="S206" s="191" t="s">
        <v>14</v>
      </c>
      <c r="T206" s="61"/>
    </row>
    <row r="207" spans="1:20" ht="18">
      <c r="A207" s="156"/>
      <c r="B207" s="13"/>
      <c r="C207" s="87"/>
      <c r="D207" s="52"/>
      <c r="E207" s="46"/>
      <c r="F207" s="23"/>
      <c r="G207" s="57">
        <f t="shared" si="30"/>
        <v>833272.6470588235</v>
      </c>
      <c r="H207" s="24">
        <v>43464</v>
      </c>
      <c r="I207" s="39">
        <v>14165635</v>
      </c>
      <c r="J207" s="8">
        <v>17</v>
      </c>
      <c r="K207" s="55"/>
      <c r="L207" s="27"/>
      <c r="M207" s="13"/>
      <c r="N207" s="7"/>
      <c r="O207" s="8"/>
      <c r="P207" s="91"/>
      <c r="Q207" s="62">
        <f>+C210-I210</f>
        <v>143642.8092792792</v>
      </c>
      <c r="R207" s="63">
        <f>+Q207/C210</f>
        <v>0.1501183734836406</v>
      </c>
      <c r="S207" s="62">
        <f>+C210-N210</f>
        <v>187799.39458333328</v>
      </c>
      <c r="T207" s="63">
        <f>+S207/C210</f>
        <v>0.19626558264569668</v>
      </c>
    </row>
    <row r="208" spans="1:20" ht="18">
      <c r="A208" s="100"/>
      <c r="B208" s="22"/>
      <c r="C208" s="101"/>
      <c r="D208" s="102"/>
      <c r="E208" s="103"/>
      <c r="F208" s="23"/>
      <c r="G208" s="37"/>
      <c r="H208" s="23"/>
      <c r="I208" s="23"/>
      <c r="J208" s="23"/>
      <c r="K208" s="23"/>
      <c r="L208" s="100"/>
      <c r="M208" s="22"/>
      <c r="N208" s="101"/>
      <c r="O208" s="109"/>
      <c r="P208" s="110"/>
      <c r="Q208" s="111" t="s">
        <v>24</v>
      </c>
      <c r="R208" s="112"/>
      <c r="S208" s="42" t="s">
        <v>25</v>
      </c>
      <c r="T208" s="43"/>
    </row>
    <row r="209" spans="1:20" ht="15">
      <c r="A209" s="34"/>
      <c r="B209" s="2"/>
      <c r="C209" s="15">
        <f>SUM(C198:C208)</f>
        <v>143529542</v>
      </c>
      <c r="D209" s="16">
        <f>SUM(D198:D208)</f>
        <v>150</v>
      </c>
      <c r="E209" s="17"/>
      <c r="F209" s="21"/>
      <c r="G209" s="9"/>
      <c r="H209" s="13"/>
      <c r="I209" s="15">
        <f>SUM(I198:I208)</f>
        <v>120356679</v>
      </c>
      <c r="J209" s="16">
        <f>SUM(J198:J208)</f>
        <v>148</v>
      </c>
      <c r="K209" s="17"/>
      <c r="L209" s="9"/>
      <c r="N209" s="15">
        <f>SUM(N198:N208)</f>
        <v>98440220</v>
      </c>
      <c r="O209" s="16">
        <f>SUM(O198:O208)</f>
        <v>128</v>
      </c>
      <c r="P209" s="41"/>
      <c r="Q209" s="44">
        <f>+C209-I209</f>
        <v>23172863</v>
      </c>
      <c r="R209" s="64">
        <f>+Q209/C209</f>
        <v>0.16145012850385881</v>
      </c>
      <c r="S209" s="44">
        <f>+C209-N209</f>
        <v>45089322</v>
      </c>
      <c r="T209" s="64">
        <f>+S209/C209</f>
        <v>0.3141466305243279</v>
      </c>
    </row>
    <row r="210" spans="1:20" ht="15" thickBot="1">
      <c r="A210" s="192"/>
      <c r="B210" s="193" t="s">
        <v>3</v>
      </c>
      <c r="C210" s="194">
        <f>+C209/(D209+E209)</f>
        <v>956863.6133333333</v>
      </c>
      <c r="D210" s="195">
        <f>+(D209+E209)/10</f>
        <v>15</v>
      </c>
      <c r="E210" s="196" t="s">
        <v>4</v>
      </c>
      <c r="F210" s="93"/>
      <c r="G210" s="192"/>
      <c r="H210" s="193" t="s">
        <v>3</v>
      </c>
      <c r="I210" s="194">
        <f>+I209/(J209+K209)</f>
        <v>813220.8040540541</v>
      </c>
      <c r="J210" s="195">
        <f>+(J209+K209)/10</f>
        <v>14.8</v>
      </c>
      <c r="K210" s="196"/>
      <c r="L210" s="192"/>
      <c r="M210" s="193" t="s">
        <v>3</v>
      </c>
      <c r="N210" s="194">
        <f>+N209/(O209+P209)</f>
        <v>769064.21875</v>
      </c>
      <c r="O210" s="195">
        <f>+(O209+P209)/8</f>
        <v>16</v>
      </c>
      <c r="P210" s="196" t="s">
        <v>4</v>
      </c>
      <c r="Q210" s="197"/>
      <c r="R210" s="197"/>
      <c r="S210" s="197"/>
      <c r="T210" s="197"/>
    </row>
    <row r="211" spans="1:20" ht="23.25" thickBot="1">
      <c r="A211" s="213" t="s">
        <v>133</v>
      </c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5"/>
    </row>
    <row r="212" spans="1:20" ht="18">
      <c r="A212" s="198">
        <v>0.09</v>
      </c>
      <c r="B212" s="199">
        <f>+C215*A212</f>
        <v>129732123.14999999</v>
      </c>
      <c r="C212" s="200" t="s">
        <v>104</v>
      </c>
      <c r="G212" s="201">
        <v>0.09</v>
      </c>
      <c r="H212" s="199">
        <f>+I215*G212</f>
        <v>119866081.5</v>
      </c>
      <c r="I212" s="200" t="s">
        <v>104</v>
      </c>
      <c r="L212" s="201">
        <v>0.09</v>
      </c>
      <c r="M212" s="199">
        <f>+N215*L212</f>
        <v>96970664.52</v>
      </c>
      <c r="N212" s="200" t="s">
        <v>104</v>
      </c>
      <c r="Q212" s="202" t="s">
        <v>13</v>
      </c>
      <c r="R212" s="203"/>
      <c r="S212" s="202" t="s">
        <v>14</v>
      </c>
      <c r="T212" s="203"/>
    </row>
    <row r="213" spans="3:20" ht="30">
      <c r="C213" s="74" t="s">
        <v>52</v>
      </c>
      <c r="Q213" s="62">
        <f>+C216-I216</f>
        <v>-82170.39958658931</v>
      </c>
      <c r="R213" s="141">
        <f>+Q213/C216</f>
        <v>-0.10551563124656926</v>
      </c>
      <c r="S213" s="62">
        <f>+C216-N216</f>
        <v>106184.28019877919</v>
      </c>
      <c r="T213" s="63">
        <f>+S213/C216</f>
        <v>0.13635203686493144</v>
      </c>
    </row>
    <row r="214" spans="3:20" ht="15">
      <c r="C214" s="209" t="s">
        <v>142</v>
      </c>
      <c r="E214" s="88" t="s">
        <v>31</v>
      </c>
      <c r="I214" s="89" t="s">
        <v>143</v>
      </c>
      <c r="K214" s="88" t="s">
        <v>31</v>
      </c>
      <c r="N214" s="209" t="s">
        <v>144</v>
      </c>
      <c r="P214" s="88" t="s">
        <v>31</v>
      </c>
      <c r="Q214" s="42" t="s">
        <v>24</v>
      </c>
      <c r="R214" s="43"/>
      <c r="S214" s="42" t="s">
        <v>25</v>
      </c>
      <c r="T214" s="43"/>
    </row>
    <row r="215" spans="3:20" ht="15">
      <c r="C215" s="15">
        <f>+C209+C188+C173</f>
        <v>1441468035</v>
      </c>
      <c r="D215" s="16">
        <f>+D209+D188+D173</f>
        <v>1843</v>
      </c>
      <c r="E215" s="17">
        <f>+E209+E188+E173</f>
        <v>8</v>
      </c>
      <c r="I215" s="15">
        <f>+I209+I188+I173</f>
        <v>1331845350</v>
      </c>
      <c r="J215" s="16">
        <f>+J209+J188+J173</f>
        <v>1543</v>
      </c>
      <c r="K215" s="17">
        <f>+K209+K188+K173</f>
        <v>4</v>
      </c>
      <c r="N215" s="15">
        <f>+N209+N188+N173</f>
        <v>1077451828</v>
      </c>
      <c r="O215" s="16">
        <f>+O209+O188+O173</f>
        <v>1591</v>
      </c>
      <c r="P215" s="17">
        <v>11</v>
      </c>
      <c r="Q215" s="44">
        <f>+C215-I215</f>
        <v>109622685</v>
      </c>
      <c r="R215" s="64">
        <f>+Q215/C215</f>
        <v>0.07604933466318592</v>
      </c>
      <c r="S215" s="44">
        <f>+C215-N215</f>
        <v>364016207</v>
      </c>
      <c r="T215" s="64">
        <f>+S215/C215</f>
        <v>0.25253158458002156</v>
      </c>
    </row>
    <row r="216" spans="1:20" ht="15.75" thickBot="1">
      <c r="A216" s="67"/>
      <c r="B216" s="66" t="s">
        <v>3</v>
      </c>
      <c r="C216" s="65">
        <f>+C215/(D215+E215)</f>
        <v>778750.9643435981</v>
      </c>
      <c r="D216" s="18">
        <f>+(D215+E215)/71</f>
        <v>26.070422535211268</v>
      </c>
      <c r="E216" s="19" t="s">
        <v>4</v>
      </c>
      <c r="F216" s="36"/>
      <c r="G216" s="67"/>
      <c r="H216" s="66" t="s">
        <v>3</v>
      </c>
      <c r="I216" s="65">
        <f>+I215/(J215+K215)</f>
        <v>860921.3639301874</v>
      </c>
      <c r="J216" s="18">
        <f>+(J215+K215)/70</f>
        <v>22.1</v>
      </c>
      <c r="K216" s="19"/>
      <c r="L216" s="67"/>
      <c r="M216" s="66" t="s">
        <v>3</v>
      </c>
      <c r="N216" s="65">
        <f>+N215/(O215+P215)</f>
        <v>672566.6841448189</v>
      </c>
      <c r="O216" s="18">
        <f>+(O215+P215)/80</f>
        <v>20.025</v>
      </c>
      <c r="P216" s="19" t="s">
        <v>4</v>
      </c>
      <c r="Q216" s="75" t="s">
        <v>27</v>
      </c>
      <c r="R216" s="76">
        <f>+D215-J215</f>
        <v>300</v>
      </c>
      <c r="S216" s="75" t="s">
        <v>28</v>
      </c>
      <c r="T216" s="76">
        <f>+D215-O215</f>
        <v>252</v>
      </c>
    </row>
    <row r="217" spans="1:20" ht="25.5" thickBot="1" thickTop="1">
      <c r="A217" s="77" t="s">
        <v>29</v>
      </c>
      <c r="B217" s="188"/>
      <c r="C217" s="90">
        <f>+C215/$Q217</f>
        <v>0.3743328806787993</v>
      </c>
      <c r="D217" s="79"/>
      <c r="E217" s="80"/>
      <c r="F217" s="80"/>
      <c r="G217" s="80"/>
      <c r="H217" s="78"/>
      <c r="I217" s="90">
        <f>+I215/$Q217</f>
        <v>0.3458651141606228</v>
      </c>
      <c r="J217" s="79"/>
      <c r="K217" s="80"/>
      <c r="L217" s="82"/>
      <c r="M217" s="78"/>
      <c r="N217" s="90">
        <f>+N215/$Q217</f>
        <v>0.27980200516057796</v>
      </c>
      <c r="O217" s="79"/>
      <c r="P217" s="80"/>
      <c r="Q217" s="184">
        <f>+N215+I215+C215</f>
        <v>3850765213</v>
      </c>
      <c r="R217" s="84" t="s">
        <v>131</v>
      </c>
      <c r="S217" s="85"/>
      <c r="T217" s="108">
        <f>+C217+I217+N217</f>
        <v>1</v>
      </c>
    </row>
    <row r="218" spans="1:18" ht="19.5" thickBot="1" thickTop="1">
      <c r="A218" t="s">
        <v>109</v>
      </c>
      <c r="B218" s="189">
        <v>0.09</v>
      </c>
      <c r="C218" s="168">
        <f>+C215*$B$218</f>
        <v>129732123.14999999</v>
      </c>
      <c r="H218" s="187">
        <v>0.09</v>
      </c>
      <c r="I218" s="182">
        <f>+I215*$B$218</f>
        <v>119866081.5</v>
      </c>
      <c r="M218" s="187">
        <v>0.09</v>
      </c>
      <c r="N218" s="177">
        <f>+N215*$B$218</f>
        <v>96970664.52</v>
      </c>
      <c r="Q218" s="185">
        <f>+N218+I218+C218</f>
        <v>346568869.16999996</v>
      </c>
      <c r="R218" s="186" t="s">
        <v>132</v>
      </c>
    </row>
    <row r="219" spans="7:14" ht="15">
      <c r="G219" s="178"/>
      <c r="H219" s="179" t="s">
        <v>128</v>
      </c>
      <c r="I219" s="190">
        <f>+I218-C218</f>
        <v>-9866041.649999991</v>
      </c>
      <c r="L219" s="178"/>
      <c r="M219" s="179" t="s">
        <v>128</v>
      </c>
      <c r="N219" s="190">
        <f>+N218-C218</f>
        <v>-32761458.629999995</v>
      </c>
    </row>
    <row r="220" spans="7:14" ht="18.75" thickBot="1">
      <c r="G220" s="180"/>
      <c r="H220" s="181" t="s">
        <v>130</v>
      </c>
      <c r="I220" s="183">
        <f>+I219/C218</f>
        <v>-0.07604933466318586</v>
      </c>
      <c r="L220" s="180"/>
      <c r="M220" s="181" t="s">
        <v>129</v>
      </c>
      <c r="N220" s="183">
        <f>+N219/C218</f>
        <v>-0.25253158458002156</v>
      </c>
    </row>
    <row r="228" ht="15">
      <c r="H228" s="166" t="s">
        <v>106</v>
      </c>
    </row>
    <row r="229" ht="14.25">
      <c r="I229" s="165">
        <v>300</v>
      </c>
    </row>
    <row r="230" spans="9:10" ht="14.25">
      <c r="I230" s="159">
        <v>45000</v>
      </c>
      <c r="J230" s="164" t="s">
        <v>107</v>
      </c>
    </row>
    <row r="231" spans="9:10" ht="14.25">
      <c r="I231" s="165">
        <v>13</v>
      </c>
      <c r="J231" t="s">
        <v>108</v>
      </c>
    </row>
    <row r="232" ht="14.25">
      <c r="I232" s="159">
        <f>+I229*I230*I231</f>
        <v>175500000</v>
      </c>
    </row>
  </sheetData>
  <sheetProtection/>
  <mergeCells count="2">
    <mergeCell ref="A2:E2"/>
    <mergeCell ref="A211:T211"/>
  </mergeCells>
  <printOptions horizontalCentered="1" verticalCentered="1"/>
  <pageMargins left="0.11811023622047245" right="0.11811023622047245" top="0.15748031496062992" bottom="0.3937007874015748" header="0.11811023622047245" footer="0.11811023622047245"/>
  <pageSetup fitToHeight="1" fitToWidth="1" orientation="landscape" paperSize="9" scale="49" r:id="rId4"/>
  <headerFooter>
    <oddFooter>&amp;CPreparado por JUANCA &amp;D&amp;RPágina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60" zoomScaleNormal="60" zoomScalePageLayoutView="0" workbookViewId="0" topLeftCell="A1">
      <selection activeCell="L14" sqref="L14"/>
    </sheetView>
  </sheetViews>
  <sheetFormatPr defaultColWidth="11.421875" defaultRowHeight="15"/>
  <cols>
    <col min="1" max="1" width="7.57421875" style="0" customWidth="1"/>
    <col min="2" max="2" width="9.140625" style="0" customWidth="1"/>
    <col min="3" max="3" width="16.57421875" style="0" customWidth="1"/>
    <col min="4" max="4" width="6.57421875" style="0" customWidth="1"/>
    <col min="5" max="5" width="14.140625" style="0" customWidth="1"/>
    <col min="6" max="6" width="3.57421875" style="0" customWidth="1"/>
    <col min="7" max="7" width="10.57421875" style="0" customWidth="1"/>
    <col min="8" max="8" width="8.57421875" style="0" customWidth="1"/>
    <col min="9" max="9" width="16.140625" style="0" customWidth="1"/>
    <col min="10" max="10" width="6.57421875" style="0" customWidth="1"/>
  </cols>
  <sheetData>
    <row r="1" ht="22.5" thickBot="1">
      <c r="A1" s="155" t="s">
        <v>97</v>
      </c>
    </row>
    <row r="2" spans="1:9" ht="18" thickBot="1">
      <c r="A2" s="210">
        <v>2018</v>
      </c>
      <c r="B2" s="211"/>
      <c r="C2" s="211"/>
      <c r="D2" s="211"/>
      <c r="E2" s="212"/>
      <c r="F2" s="23"/>
      <c r="H2" s="31" t="s">
        <v>9</v>
      </c>
      <c r="I2" s="29"/>
    </row>
    <row r="3" spans="1:9" ht="19.5">
      <c r="A3" s="146"/>
      <c r="B3" s="2"/>
      <c r="C3" s="3" t="s">
        <v>1</v>
      </c>
      <c r="D3" s="4"/>
      <c r="E3" s="5"/>
      <c r="F3" s="23"/>
      <c r="G3" s="70" t="s">
        <v>8</v>
      </c>
      <c r="I3" s="4"/>
    </row>
    <row r="4" spans="1:10" ht="18">
      <c r="A4" s="42" t="s">
        <v>95</v>
      </c>
      <c r="B4" s="6">
        <v>43113</v>
      </c>
      <c r="C4" s="58">
        <v>12954883</v>
      </c>
      <c r="D4" s="8"/>
      <c r="E4" s="5"/>
      <c r="F4" s="23"/>
      <c r="G4" s="153" t="s">
        <v>96</v>
      </c>
      <c r="H4" s="13">
        <v>43109</v>
      </c>
      <c r="I4" s="206">
        <v>9168448</v>
      </c>
      <c r="J4" s="8"/>
    </row>
    <row r="5" spans="1:10" ht="18">
      <c r="A5" s="147"/>
      <c r="F5" s="23"/>
      <c r="G5" s="153" t="s">
        <v>88</v>
      </c>
      <c r="H5" s="13">
        <v>43111</v>
      </c>
      <c r="I5" s="206">
        <v>8376773</v>
      </c>
      <c r="J5" s="8"/>
    </row>
    <row r="6" spans="1:10" ht="18">
      <c r="A6" s="152" t="s">
        <v>98</v>
      </c>
      <c r="F6" s="23"/>
      <c r="G6" s="153" t="s">
        <v>96</v>
      </c>
      <c r="H6" s="13">
        <v>43116</v>
      </c>
      <c r="I6" s="206">
        <v>8578845</v>
      </c>
      <c r="J6" s="8"/>
    </row>
    <row r="7" spans="1:10" ht="18">
      <c r="A7" s="152" t="s">
        <v>94</v>
      </c>
      <c r="F7" s="23"/>
      <c r="G7" s="153" t="s">
        <v>88</v>
      </c>
      <c r="H7" s="13">
        <v>43118</v>
      </c>
      <c r="I7" s="206">
        <v>8657593</v>
      </c>
      <c r="J7" s="8"/>
    </row>
    <row r="8" spans="1:10" ht="18">
      <c r="A8" s="147"/>
      <c r="F8" s="23"/>
      <c r="G8" s="153" t="s">
        <v>95</v>
      </c>
      <c r="H8" s="6">
        <v>43120</v>
      </c>
      <c r="I8" s="206">
        <v>9700519</v>
      </c>
      <c r="J8" s="8"/>
    </row>
    <row r="9" spans="1:10" ht="3.75" customHeight="1" thickBot="1">
      <c r="A9" s="148"/>
      <c r="B9" s="25"/>
      <c r="C9" s="25"/>
      <c r="D9" s="25"/>
      <c r="E9" s="25"/>
      <c r="F9" s="36"/>
      <c r="G9" s="154"/>
      <c r="H9" s="25"/>
      <c r="I9" s="207"/>
      <c r="J9" s="25"/>
    </row>
    <row r="10" spans="1:9" ht="20.25" thickTop="1">
      <c r="A10" s="149"/>
      <c r="B10" s="116" t="s">
        <v>5</v>
      </c>
      <c r="D10" s="4"/>
      <c r="E10" s="5"/>
      <c r="F10" s="23"/>
      <c r="G10" s="70" t="s">
        <v>8</v>
      </c>
      <c r="I10" s="208" t="s">
        <v>2</v>
      </c>
    </row>
    <row r="11" spans="1:10" ht="18">
      <c r="A11" s="42" t="s">
        <v>95</v>
      </c>
      <c r="B11" s="6">
        <v>43155</v>
      </c>
      <c r="C11" s="58">
        <v>13096036</v>
      </c>
      <c r="D11" s="8"/>
      <c r="F11" s="23"/>
      <c r="G11" s="153" t="s">
        <v>95</v>
      </c>
      <c r="H11" s="6">
        <v>43148</v>
      </c>
      <c r="I11" s="206">
        <v>9572477</v>
      </c>
      <c r="J11" s="8"/>
    </row>
    <row r="12" spans="1:10" ht="18">
      <c r="A12" s="150"/>
      <c r="D12" s="8"/>
      <c r="F12" s="23"/>
      <c r="G12" s="153" t="s">
        <v>96</v>
      </c>
      <c r="H12" s="13">
        <v>43151</v>
      </c>
      <c r="I12" s="206">
        <v>9383831</v>
      </c>
      <c r="J12" s="8"/>
    </row>
    <row r="13" spans="1:10" ht="3" customHeight="1" thickBot="1">
      <c r="A13" s="148"/>
      <c r="B13" s="25"/>
      <c r="C13" s="25"/>
      <c r="D13" s="25"/>
      <c r="E13" s="25"/>
      <c r="F13" s="36"/>
      <c r="G13" s="154"/>
      <c r="H13" s="25"/>
      <c r="I13" s="25"/>
      <c r="J13" s="25"/>
    </row>
    <row r="14" spans="1:9" ht="20.25" thickTop="1">
      <c r="A14" s="151"/>
      <c r="B14" s="2"/>
      <c r="C14" s="3" t="s">
        <v>15</v>
      </c>
      <c r="D14" s="4"/>
      <c r="E14" s="5"/>
      <c r="F14" s="23"/>
      <c r="G14" s="70" t="s">
        <v>8</v>
      </c>
      <c r="I14" s="4" t="s">
        <v>16</v>
      </c>
    </row>
    <row r="15" spans="1:9" ht="16.5" customHeight="1">
      <c r="A15" s="42" t="s">
        <v>95</v>
      </c>
      <c r="B15" s="6">
        <v>43162</v>
      </c>
      <c r="C15" s="58">
        <v>12395398</v>
      </c>
      <c r="D15" s="8"/>
      <c r="E15" s="5"/>
      <c r="F15" s="21"/>
      <c r="G15" s="153" t="s">
        <v>96</v>
      </c>
      <c r="H15" s="13">
        <v>43172</v>
      </c>
      <c r="I15" s="206">
        <v>9080582</v>
      </c>
    </row>
    <row r="16" spans="1:12" ht="18">
      <c r="A16" s="152"/>
      <c r="F16" s="21"/>
      <c r="G16" s="153" t="s">
        <v>88</v>
      </c>
      <c r="H16" s="13">
        <v>43174</v>
      </c>
      <c r="I16" s="206">
        <v>8986045</v>
      </c>
      <c r="J16" s="8"/>
      <c r="L16">
        <f>3*0.09</f>
        <v>0.27</v>
      </c>
    </row>
    <row r="17" spans="1:10" ht="18">
      <c r="A17" s="152"/>
      <c r="F17" s="23"/>
      <c r="G17" s="153" t="s">
        <v>96</v>
      </c>
      <c r="H17" s="13">
        <v>43179</v>
      </c>
      <c r="I17" s="206">
        <v>9233209</v>
      </c>
      <c r="J17" s="49"/>
    </row>
    <row r="18" spans="1:10" ht="18">
      <c r="A18" s="152"/>
      <c r="F18" s="23"/>
      <c r="G18" s="153" t="s">
        <v>95</v>
      </c>
      <c r="H18" s="6">
        <v>43190</v>
      </c>
      <c r="I18" s="206">
        <v>8742269</v>
      </c>
      <c r="J18" s="49"/>
    </row>
    <row r="19" spans="1:10" ht="3" customHeight="1" thickBot="1">
      <c r="A19" s="148"/>
      <c r="B19" s="25"/>
      <c r="C19" s="25"/>
      <c r="D19" s="25"/>
      <c r="E19" s="25"/>
      <c r="F19" s="36"/>
      <c r="G19" s="154"/>
      <c r="H19" s="25"/>
      <c r="I19" s="25"/>
      <c r="J19" s="25"/>
    </row>
    <row r="20" spans="1:9" ht="20.25" thickTop="1">
      <c r="A20" s="151"/>
      <c r="B20" s="2"/>
      <c r="C20" s="3" t="s">
        <v>18</v>
      </c>
      <c r="D20" s="4"/>
      <c r="E20" s="5"/>
      <c r="F20" s="23"/>
      <c r="G20" s="70" t="s">
        <v>8</v>
      </c>
      <c r="I20" s="4" t="s">
        <v>16</v>
      </c>
    </row>
    <row r="21" spans="1:10" ht="18">
      <c r="A21" s="42" t="s">
        <v>95</v>
      </c>
      <c r="B21" s="6">
        <v>43232</v>
      </c>
      <c r="C21" s="58">
        <v>14748258</v>
      </c>
      <c r="D21" s="8"/>
      <c r="F21" s="21"/>
      <c r="G21" s="153" t="s">
        <v>96</v>
      </c>
      <c r="H21" s="13">
        <v>43410</v>
      </c>
      <c r="I21" s="39">
        <v>10567635</v>
      </c>
      <c r="J21" s="49"/>
    </row>
    <row r="22" spans="1:10" ht="18">
      <c r="A22" s="42" t="s">
        <v>134</v>
      </c>
      <c r="B22" s="13">
        <v>43418</v>
      </c>
      <c r="C22" s="87">
        <v>11936299</v>
      </c>
      <c r="D22" s="8"/>
      <c r="F22" s="21"/>
      <c r="G22" s="153" t="s">
        <v>88</v>
      </c>
      <c r="H22" s="13">
        <v>43412</v>
      </c>
      <c r="I22" s="39">
        <v>10958254</v>
      </c>
      <c r="J22" s="8"/>
    </row>
    <row r="23" spans="1:9" ht="18">
      <c r="A23" s="42" t="s">
        <v>10</v>
      </c>
      <c r="B23" s="50">
        <v>43245</v>
      </c>
      <c r="C23" s="140">
        <v>19411513</v>
      </c>
      <c r="D23" s="8"/>
      <c r="E23" s="35" t="s">
        <v>26</v>
      </c>
      <c r="F23" s="23"/>
      <c r="G23" s="153" t="s">
        <v>95</v>
      </c>
      <c r="H23" s="6">
        <v>43246</v>
      </c>
      <c r="I23" s="39">
        <v>10316647</v>
      </c>
    </row>
    <row r="24" spans="1:10" ht="18">
      <c r="A24" s="150"/>
      <c r="F24" s="23"/>
      <c r="G24" s="153" t="s">
        <v>96</v>
      </c>
      <c r="H24" s="13">
        <v>43249</v>
      </c>
      <c r="I24" s="206">
        <v>9291541</v>
      </c>
      <c r="J24" s="8"/>
    </row>
    <row r="25" spans="1:10" ht="2.25" customHeight="1" thickBot="1">
      <c r="A25" s="148"/>
      <c r="B25" s="25"/>
      <c r="C25" s="25"/>
      <c r="D25" s="25"/>
      <c r="E25" s="25"/>
      <c r="F25" s="36"/>
      <c r="G25" s="154"/>
      <c r="H25" s="25"/>
      <c r="I25" s="25"/>
      <c r="J25" s="25"/>
    </row>
    <row r="26" spans="1:9" ht="20.25" thickTop="1">
      <c r="A26" s="1"/>
      <c r="B26" s="2"/>
      <c r="C26" s="20" t="s">
        <v>44</v>
      </c>
      <c r="D26" s="4" t="s">
        <v>2</v>
      </c>
      <c r="F26" s="23"/>
      <c r="G26" s="70" t="s">
        <v>8</v>
      </c>
      <c r="I26" s="4" t="s">
        <v>2</v>
      </c>
    </row>
    <row r="27" spans="1:10" ht="18">
      <c r="A27" s="174"/>
      <c r="B27" s="6">
        <v>43407</v>
      </c>
      <c r="C27" s="140">
        <v>15916948</v>
      </c>
      <c r="D27" s="38">
        <v>15</v>
      </c>
      <c r="F27" s="21"/>
      <c r="G27" s="153" t="s">
        <v>95</v>
      </c>
      <c r="H27" s="6">
        <v>43421</v>
      </c>
      <c r="I27" s="39">
        <v>11522165</v>
      </c>
      <c r="J27" s="49"/>
    </row>
    <row r="28" spans="6:11" ht="18">
      <c r="F28" s="21"/>
      <c r="G28" s="153" t="s">
        <v>95</v>
      </c>
      <c r="H28" s="6">
        <v>43428</v>
      </c>
      <c r="I28" s="206">
        <v>9195572</v>
      </c>
      <c r="J28" s="8"/>
      <c r="K28" s="176"/>
    </row>
    <row r="29" ht="18">
      <c r="A29" s="204" t="s">
        <v>135</v>
      </c>
    </row>
    <row r="30" spans="1:6" ht="18">
      <c r="A30" s="152"/>
      <c r="F30" s="152" t="s">
        <v>137</v>
      </c>
    </row>
    <row r="31" ht="14.25">
      <c r="F31" s="205" t="s">
        <v>138</v>
      </c>
    </row>
    <row r="32" ht="14.25">
      <c r="F32" s="152" t="s">
        <v>136</v>
      </c>
    </row>
  </sheetData>
  <sheetProtection/>
  <mergeCells count="1">
    <mergeCell ref="A2:E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</dc:creator>
  <cp:keywords/>
  <dc:description/>
  <cp:lastModifiedBy>JuancaE</cp:lastModifiedBy>
  <cp:lastPrinted>2018-09-14T11:48:39Z</cp:lastPrinted>
  <dcterms:created xsi:type="dcterms:W3CDTF">2016-02-10T11:45:43Z</dcterms:created>
  <dcterms:modified xsi:type="dcterms:W3CDTF">2019-01-01T23:34:32Z</dcterms:modified>
  <cp:category/>
  <cp:version/>
  <cp:contentType/>
  <cp:contentStatus/>
</cp:coreProperties>
</file>